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iego\Downloads\"/>
    </mc:Choice>
  </mc:AlternateContent>
  <xr:revisionPtr revIDLastSave="0" documentId="13_ncr:1_{18CA7ABF-1FDB-4257-A1B8-EE4CE2728904}" xr6:coauthVersionLast="47" xr6:coauthVersionMax="47" xr10:uidLastSave="{00000000-0000-0000-0000-000000000000}"/>
  <bookViews>
    <workbookView xWindow="-108" yWindow="-108" windowWidth="23256" windowHeight="12456" tabRatio="883" activeTab="5" xr2:uid="{00000000-000D-0000-FFFF-FFFF00000000}"/>
  </bookViews>
  <sheets>
    <sheet name="encarregado geral" sheetId="6" r:id="rId1"/>
    <sheet name="almoxarife" sheetId="4" r:id="rId2"/>
    <sheet name="auxiliar de jardineiro" sheetId="2" r:id="rId3"/>
    <sheet name="jardineiro" sheetId="1" r:id="rId4"/>
    <sheet name="motorista caminhao" sheetId="10" r:id="rId5"/>
    <sheet name="operador de roçadeira costal" sheetId="3" r:id="rId6"/>
    <sheet name="TOTAL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7" roundtripDataChecksum="H8JdZP5FKF2aguShTv2GiSbG2xO7G8Jp046ZoZN6yF8="/>
    </ext>
  </extLst>
</workbook>
</file>

<file path=xl/calcChain.xml><?xml version="1.0" encoding="utf-8"?>
<calcChain xmlns="http://schemas.openxmlformats.org/spreadsheetml/2006/main">
  <c r="H21" i="12" l="1"/>
  <c r="H10" i="12"/>
  <c r="G146" i="10"/>
  <c r="G146" i="3"/>
  <c r="G146" i="2"/>
  <c r="G146" i="1"/>
  <c r="E112" i="10"/>
  <c r="E110" i="10"/>
  <c r="G93" i="10"/>
  <c r="G100" i="10" s="1"/>
  <c r="G132" i="10" s="1"/>
  <c r="G143" i="10" s="1"/>
  <c r="G84" i="10"/>
  <c r="F76" i="10"/>
  <c r="F74" i="10"/>
  <c r="F72" i="10"/>
  <c r="F70" i="10"/>
  <c r="F64" i="10"/>
  <c r="F63" i="10"/>
  <c r="F61" i="10"/>
  <c r="F60" i="10"/>
  <c r="F59" i="10"/>
  <c r="F57" i="10"/>
  <c r="G45" i="10"/>
  <c r="G44" i="10"/>
  <c r="G41" i="10"/>
  <c r="G40" i="10"/>
  <c r="F35" i="10"/>
  <c r="F37" i="10" s="1"/>
  <c r="F26" i="10"/>
  <c r="G19" i="10"/>
  <c r="F16" i="10"/>
  <c r="G13" i="10"/>
  <c r="G12" i="10"/>
  <c r="G20" i="10" s="1"/>
  <c r="E112" i="6"/>
  <c r="E110" i="6"/>
  <c r="E111" i="6" s="1"/>
  <c r="F107" i="6" s="1"/>
  <c r="F117" i="6" s="1"/>
  <c r="G100" i="6"/>
  <c r="G132" i="6" s="1"/>
  <c r="G143" i="6" s="1"/>
  <c r="G93" i="6"/>
  <c r="G84" i="6"/>
  <c r="F76" i="6"/>
  <c r="F74" i="6"/>
  <c r="F72" i="6"/>
  <c r="F70" i="6"/>
  <c r="F63" i="6"/>
  <c r="F61" i="6"/>
  <c r="F60" i="6"/>
  <c r="F57" i="6"/>
  <c r="F59" i="6" s="1"/>
  <c r="G45" i="6"/>
  <c r="G44" i="6"/>
  <c r="G41" i="6"/>
  <c r="G40" i="6"/>
  <c r="F37" i="6"/>
  <c r="F35" i="6"/>
  <c r="F26" i="6"/>
  <c r="G19" i="6"/>
  <c r="F16" i="6"/>
  <c r="G13" i="6"/>
  <c r="G12" i="6"/>
  <c r="G20" i="6" s="1"/>
  <c r="E112" i="4"/>
  <c r="E110" i="4"/>
  <c r="E111" i="4" s="1"/>
  <c r="F107" i="4" s="1"/>
  <c r="F117" i="4" s="1"/>
  <c r="G93" i="4"/>
  <c r="G100" i="4" s="1"/>
  <c r="G132" i="4" s="1"/>
  <c r="G143" i="4" s="1"/>
  <c r="G84" i="4"/>
  <c r="F76" i="4"/>
  <c r="F74" i="4"/>
  <c r="F72" i="4"/>
  <c r="F70" i="4"/>
  <c r="F63" i="4"/>
  <c r="F61" i="4"/>
  <c r="F60" i="4"/>
  <c r="F59" i="4"/>
  <c r="F57" i="4"/>
  <c r="G45" i="4"/>
  <c r="G44" i="4"/>
  <c r="G41" i="4"/>
  <c r="G40" i="4"/>
  <c r="F35" i="4"/>
  <c r="F37" i="4" s="1"/>
  <c r="F26" i="4"/>
  <c r="G19" i="4"/>
  <c r="F16" i="4"/>
  <c r="G13" i="4"/>
  <c r="G12" i="4"/>
  <c r="G20" i="4" s="1"/>
  <c r="E112" i="3"/>
  <c r="E111" i="3"/>
  <c r="E110" i="3"/>
  <c r="F107" i="3"/>
  <c r="F117" i="3" s="1"/>
  <c r="G93" i="3"/>
  <c r="G100" i="3" s="1"/>
  <c r="G132" i="3" s="1"/>
  <c r="G143" i="3" s="1"/>
  <c r="G84" i="3"/>
  <c r="F76" i="3"/>
  <c r="F74" i="3"/>
  <c r="F72" i="3"/>
  <c r="F70" i="3"/>
  <c r="F63" i="3"/>
  <c r="F64" i="3" s="1"/>
  <c r="F61" i="3"/>
  <c r="F60" i="3"/>
  <c r="F59" i="3"/>
  <c r="F57" i="3"/>
  <c r="G45" i="3"/>
  <c r="G44" i="3"/>
  <c r="G41" i="3"/>
  <c r="G40" i="3"/>
  <c r="F35" i="3"/>
  <c r="F37" i="3" s="1"/>
  <c r="F26" i="3"/>
  <c r="G19" i="3"/>
  <c r="G20" i="3" s="1"/>
  <c r="F16" i="3"/>
  <c r="G13" i="3"/>
  <c r="G12" i="3"/>
  <c r="E112" i="2"/>
  <c r="E110" i="2"/>
  <c r="G93" i="2"/>
  <c r="G100" i="2" s="1"/>
  <c r="G132" i="2" s="1"/>
  <c r="G143" i="2" s="1"/>
  <c r="G84" i="2"/>
  <c r="F76" i="2"/>
  <c r="F74" i="2"/>
  <c r="F72" i="2"/>
  <c r="F70" i="2"/>
  <c r="F63" i="2"/>
  <c r="F61" i="2"/>
  <c r="F60" i="2"/>
  <c r="F57" i="2"/>
  <c r="G45" i="2"/>
  <c r="G44" i="2"/>
  <c r="G41" i="2"/>
  <c r="G40" i="2"/>
  <c r="G47" i="2" s="1"/>
  <c r="G52" i="2" s="1"/>
  <c r="F37" i="2"/>
  <c r="F35" i="2"/>
  <c r="F26" i="2"/>
  <c r="G20" i="2"/>
  <c r="G43" i="2" s="1"/>
  <c r="G19" i="2"/>
  <c r="F16" i="2"/>
  <c r="G13" i="2"/>
  <c r="G12" i="2"/>
  <c r="E112" i="1"/>
  <c r="E111" i="1"/>
  <c r="E110" i="1"/>
  <c r="F107" i="1" s="1"/>
  <c r="F117" i="1" s="1"/>
  <c r="G93" i="1"/>
  <c r="G100" i="1" s="1"/>
  <c r="G132" i="1" s="1"/>
  <c r="G143" i="1" s="1"/>
  <c r="G84" i="1"/>
  <c r="F76" i="1"/>
  <c r="F74" i="1"/>
  <c r="F72" i="1"/>
  <c r="F70" i="1"/>
  <c r="F63" i="1"/>
  <c r="F61" i="1"/>
  <c r="F60" i="1"/>
  <c r="F57" i="1"/>
  <c r="G45" i="1"/>
  <c r="G44" i="1"/>
  <c r="G41" i="1"/>
  <c r="G40" i="1"/>
  <c r="F37" i="1"/>
  <c r="F35" i="1"/>
  <c r="F26" i="1"/>
  <c r="G20" i="1"/>
  <c r="G34" i="1" s="1"/>
  <c r="G19" i="1"/>
  <c r="F16" i="1"/>
  <c r="G13" i="1"/>
  <c r="G12" i="1"/>
  <c r="G36" i="4" l="1"/>
  <c r="G24" i="4"/>
  <c r="G32" i="4"/>
  <c r="G63" i="4"/>
  <c r="G33" i="4"/>
  <c r="G61" i="4"/>
  <c r="G31" i="4"/>
  <c r="G30" i="4"/>
  <c r="G62" i="4" s="1"/>
  <c r="G60" i="4"/>
  <c r="G43" i="4"/>
  <c r="G47" i="4" s="1"/>
  <c r="G52" i="4" s="1"/>
  <c r="G29" i="4"/>
  <c r="G59" i="4"/>
  <c r="G96" i="4"/>
  <c r="G25" i="4"/>
  <c r="G69" i="4"/>
  <c r="G57" i="4"/>
  <c r="G34" i="4"/>
  <c r="G68" i="4"/>
  <c r="G35" i="4"/>
  <c r="G60" i="6"/>
  <c r="G43" i="6"/>
  <c r="G47" i="6" s="1"/>
  <c r="G52" i="6" s="1"/>
  <c r="G30" i="6"/>
  <c r="G62" i="6" s="1"/>
  <c r="G25" i="6"/>
  <c r="G96" i="6"/>
  <c r="G29" i="6"/>
  <c r="G59" i="6"/>
  <c r="G68" i="6"/>
  <c r="G57" i="6"/>
  <c r="G64" i="6" s="1"/>
  <c r="G98" i="6" s="1"/>
  <c r="G130" i="6" s="1"/>
  <c r="G141" i="6" s="1"/>
  <c r="G36" i="6"/>
  <c r="G69" i="6"/>
  <c r="G31" i="6"/>
  <c r="G24" i="6"/>
  <c r="G32" i="6"/>
  <c r="G35" i="6"/>
  <c r="G63" i="6"/>
  <c r="G33" i="6"/>
  <c r="G61" i="6"/>
  <c r="G34" i="6"/>
  <c r="F107" i="10"/>
  <c r="F117" i="10" s="1"/>
  <c r="G47" i="10"/>
  <c r="G52" i="10" s="1"/>
  <c r="G32" i="3"/>
  <c r="G34" i="3"/>
  <c r="G43" i="3"/>
  <c r="G47" i="3" s="1"/>
  <c r="G52" i="3" s="1"/>
  <c r="G61" i="3"/>
  <c r="G33" i="3"/>
  <c r="G29" i="3"/>
  <c r="G59" i="3"/>
  <c r="G69" i="3"/>
  <c r="G31" i="3"/>
  <c r="G96" i="3"/>
  <c r="G60" i="3"/>
  <c r="G30" i="3"/>
  <c r="G62" i="3" s="1"/>
  <c r="G63" i="3"/>
  <c r="G35" i="3"/>
  <c r="G57" i="3"/>
  <c r="G64" i="3" s="1"/>
  <c r="G98" i="3" s="1"/>
  <c r="G130" i="3" s="1"/>
  <c r="G141" i="3" s="1"/>
  <c r="G25" i="3"/>
  <c r="G68" i="3" s="1"/>
  <c r="G36" i="3"/>
  <c r="G24" i="3"/>
  <c r="G60" i="10"/>
  <c r="G31" i="10"/>
  <c r="G96" i="10"/>
  <c r="G43" i="10"/>
  <c r="G30" i="10"/>
  <c r="G62" i="10" s="1"/>
  <c r="G33" i="10"/>
  <c r="G32" i="10"/>
  <c r="G61" i="10"/>
  <c r="G29" i="10"/>
  <c r="G25" i="10"/>
  <c r="G59" i="10"/>
  <c r="G24" i="10"/>
  <c r="G26" i="10" s="1"/>
  <c r="G50" i="10" s="1"/>
  <c r="G63" i="10"/>
  <c r="G34" i="10"/>
  <c r="G69" i="10"/>
  <c r="G57" i="10"/>
  <c r="G35" i="10"/>
  <c r="G36" i="10"/>
  <c r="G59" i="1"/>
  <c r="G59" i="2"/>
  <c r="G96" i="2"/>
  <c r="F64" i="4"/>
  <c r="G96" i="1"/>
  <c r="F59" i="2"/>
  <c r="F64" i="2" s="1"/>
  <c r="G24" i="1"/>
  <c r="G26" i="1" s="1"/>
  <c r="G50" i="1" s="1"/>
  <c r="G69" i="1"/>
  <c r="G24" i="2"/>
  <c r="G68" i="2" s="1"/>
  <c r="G69" i="2"/>
  <c r="F59" i="1"/>
  <c r="F64" i="1" s="1"/>
  <c r="G25" i="2"/>
  <c r="F64" i="6"/>
  <c r="G60" i="1"/>
  <c r="E111" i="2"/>
  <c r="F107" i="2" s="1"/>
  <c r="F117" i="2" s="1"/>
  <c r="G25" i="1"/>
  <c r="E111" i="10"/>
  <c r="G61" i="1"/>
  <c r="G57" i="2"/>
  <c r="G57" i="1"/>
  <c r="G30" i="1"/>
  <c r="G62" i="1" s="1"/>
  <c r="G32" i="1"/>
  <c r="G32" i="2"/>
  <c r="G36" i="1"/>
  <c r="G68" i="1"/>
  <c r="G35" i="2"/>
  <c r="G36" i="2"/>
  <c r="G29" i="1"/>
  <c r="G30" i="2"/>
  <c r="G62" i="2" s="1"/>
  <c r="G61" i="2"/>
  <c r="G33" i="1"/>
  <c r="G63" i="1"/>
  <c r="G33" i="2"/>
  <c r="G43" i="1"/>
  <c r="G47" i="1" s="1"/>
  <c r="G52" i="1" s="1"/>
  <c r="G29" i="2"/>
  <c r="G31" i="1"/>
  <c r="G34" i="2"/>
  <c r="G63" i="2"/>
  <c r="G60" i="2"/>
  <c r="G31" i="2"/>
  <c r="G35" i="1"/>
  <c r="G76" i="2" l="1"/>
  <c r="G74" i="2"/>
  <c r="G72" i="2"/>
  <c r="G70" i="2"/>
  <c r="G78" i="2" s="1"/>
  <c r="G83" i="2" s="1"/>
  <c r="G85" i="2" s="1"/>
  <c r="G99" i="2" s="1"/>
  <c r="G131" i="2" s="1"/>
  <c r="G142" i="2" s="1"/>
  <c r="G72" i="3"/>
  <c r="G70" i="3"/>
  <c r="G74" i="3"/>
  <c r="G78" i="3" s="1"/>
  <c r="G83" i="3" s="1"/>
  <c r="G85" i="3" s="1"/>
  <c r="G99" i="3" s="1"/>
  <c r="G131" i="3" s="1"/>
  <c r="G142" i="3" s="1"/>
  <c r="G76" i="3"/>
  <c r="G128" i="10"/>
  <c r="G37" i="2"/>
  <c r="G51" i="2" s="1"/>
  <c r="H16" i="12"/>
  <c r="G74" i="1"/>
  <c r="G72" i="1"/>
  <c r="G76" i="1"/>
  <c r="G70" i="1"/>
  <c r="G78" i="1" s="1"/>
  <c r="G83" i="1" s="1"/>
  <c r="G85" i="1" s="1"/>
  <c r="G99" i="1" s="1"/>
  <c r="G131" i="1" s="1"/>
  <c r="G142" i="1" s="1"/>
  <c r="G128" i="2"/>
  <c r="G70" i="6"/>
  <c r="G78" i="6" s="1"/>
  <c r="G83" i="6" s="1"/>
  <c r="G85" i="6" s="1"/>
  <c r="G99" i="6" s="1"/>
  <c r="G131" i="6" s="1"/>
  <c r="G142" i="6" s="1"/>
  <c r="G72" i="6"/>
  <c r="G76" i="6"/>
  <c r="G74" i="6"/>
  <c r="G128" i="6"/>
  <c r="G74" i="4"/>
  <c r="G70" i="4"/>
  <c r="G72" i="4"/>
  <c r="G76" i="4"/>
  <c r="G64" i="4"/>
  <c r="G98" i="4" s="1"/>
  <c r="G130" i="4" s="1"/>
  <c r="G141" i="4" s="1"/>
  <c r="H18" i="12"/>
  <c r="G37" i="4"/>
  <c r="G51" i="4" s="1"/>
  <c r="G37" i="6"/>
  <c r="G51" i="6" s="1"/>
  <c r="H19" i="12"/>
  <c r="G64" i="1"/>
  <c r="G98" i="1" s="1"/>
  <c r="G130" i="1" s="1"/>
  <c r="G141" i="1" s="1"/>
  <c r="G64" i="2"/>
  <c r="G98" i="2" s="1"/>
  <c r="G130" i="2" s="1"/>
  <c r="G141" i="2" s="1"/>
  <c r="G128" i="3"/>
  <c r="G26" i="6"/>
  <c r="G50" i="6" s="1"/>
  <c r="G53" i="6" s="1"/>
  <c r="G97" i="6" s="1"/>
  <c r="G129" i="6" s="1"/>
  <c r="G140" i="6" s="1"/>
  <c r="G128" i="4"/>
  <c r="H20" i="12"/>
  <c r="G37" i="10"/>
  <c r="G51" i="10" s="1"/>
  <c r="G53" i="10" s="1"/>
  <c r="G97" i="10" s="1"/>
  <c r="G26" i="2"/>
  <c r="G50" i="2" s="1"/>
  <c r="G53" i="2" s="1"/>
  <c r="G97" i="2" s="1"/>
  <c r="G129" i="2" s="1"/>
  <c r="G140" i="2" s="1"/>
  <c r="G68" i="10"/>
  <c r="H15" i="12"/>
  <c r="G37" i="1"/>
  <c r="G51" i="1" s="1"/>
  <c r="G53" i="1" s="1"/>
  <c r="G97" i="1" s="1"/>
  <c r="G26" i="3"/>
  <c r="G50" i="3" s="1"/>
  <c r="G53" i="3" s="1"/>
  <c r="G97" i="3" s="1"/>
  <c r="G129" i="3" s="1"/>
  <c r="G140" i="3" s="1"/>
  <c r="G78" i="4"/>
  <c r="G83" i="4" s="1"/>
  <c r="G85" i="4" s="1"/>
  <c r="G99" i="4" s="1"/>
  <c r="G131" i="4" s="1"/>
  <c r="G142" i="4" s="1"/>
  <c r="G128" i="1"/>
  <c r="G64" i="10"/>
  <c r="G98" i="10" s="1"/>
  <c r="G130" i="10" s="1"/>
  <c r="G141" i="10" s="1"/>
  <c r="H17" i="12"/>
  <c r="G37" i="3"/>
  <c r="G51" i="3" s="1"/>
  <c r="G26" i="4"/>
  <c r="G50" i="4" s="1"/>
  <c r="G129" i="10" l="1"/>
  <c r="G140" i="10" s="1"/>
  <c r="G129" i="1"/>
  <c r="G140" i="1" s="1"/>
  <c r="G101" i="1"/>
  <c r="G105" i="1"/>
  <c r="G101" i="3"/>
  <c r="G101" i="6"/>
  <c r="G101" i="2"/>
  <c r="G139" i="3"/>
  <c r="G145" i="3" s="1"/>
  <c r="H6" i="12" s="1"/>
  <c r="G139" i="2"/>
  <c r="G145" i="2" s="1"/>
  <c r="H5" i="12" s="1"/>
  <c r="G139" i="1"/>
  <c r="G53" i="4"/>
  <c r="G97" i="4" s="1"/>
  <c r="G105" i="3"/>
  <c r="G105" i="2"/>
  <c r="G105" i="6"/>
  <c r="G139" i="6"/>
  <c r="G145" i="6" s="1"/>
  <c r="G146" i="6" s="1"/>
  <c r="H8" i="12" s="1"/>
  <c r="G70" i="10"/>
  <c r="G76" i="10"/>
  <c r="G74" i="10"/>
  <c r="G72" i="10"/>
  <c r="G139" i="4"/>
  <c r="G139" i="10"/>
  <c r="G78" i="10" l="1"/>
  <c r="G83" i="10" s="1"/>
  <c r="G85" i="10" s="1"/>
  <c r="G99" i="10" s="1"/>
  <c r="G106" i="2"/>
  <c r="G120" i="2"/>
  <c r="G122" i="2" s="1"/>
  <c r="G124" i="2" s="1"/>
  <c r="G106" i="6"/>
  <c r="G107" i="6" s="1"/>
  <c r="G115" i="6" s="1"/>
  <c r="G133" i="6" s="1"/>
  <c r="G134" i="6" s="1"/>
  <c r="G135" i="6" s="1"/>
  <c r="G107" i="1"/>
  <c r="G106" i="1"/>
  <c r="G115" i="1" s="1"/>
  <c r="G133" i="1" s="1"/>
  <c r="G134" i="1" s="1"/>
  <c r="G135" i="1" s="1"/>
  <c r="G120" i="1"/>
  <c r="G122" i="1" s="1"/>
  <c r="G124" i="1" s="1"/>
  <c r="G106" i="3"/>
  <c r="G115" i="3" s="1"/>
  <c r="G133" i="3" s="1"/>
  <c r="G134" i="3" s="1"/>
  <c r="G135" i="3" s="1"/>
  <c r="G107" i="3"/>
  <c r="G129" i="4"/>
  <c r="G105" i="4"/>
  <c r="G101" i="4"/>
  <c r="G145" i="1"/>
  <c r="H4" i="12" s="1"/>
  <c r="G107" i="2" l="1"/>
  <c r="G115" i="2" s="1"/>
  <c r="G133" i="2" s="1"/>
  <c r="G134" i="2" s="1"/>
  <c r="G135" i="2" s="1"/>
  <c r="G120" i="6"/>
  <c r="G122" i="6" s="1"/>
  <c r="G124" i="6" s="1"/>
  <c r="G106" i="4"/>
  <c r="G120" i="4" s="1"/>
  <c r="G122" i="4" s="1"/>
  <c r="G124" i="4" s="1"/>
  <c r="G140" i="4"/>
  <c r="G145" i="4" s="1"/>
  <c r="G146" i="4" s="1"/>
  <c r="H7" i="12" s="1"/>
  <c r="G120" i="3"/>
  <c r="G122" i="3" s="1"/>
  <c r="G124" i="3" s="1"/>
  <c r="G131" i="10"/>
  <c r="G105" i="10"/>
  <c r="G101" i="10"/>
  <c r="G107" i="4" l="1"/>
  <c r="G115" i="4" s="1"/>
  <c r="G133" i="4" s="1"/>
  <c r="G134" i="4" s="1"/>
  <c r="G135" i="4" s="1"/>
  <c r="G106" i="10"/>
  <c r="G115" i="10" s="1"/>
  <c r="G133" i="10" s="1"/>
  <c r="G134" i="10" s="1"/>
  <c r="G135" i="10" s="1"/>
  <c r="G120" i="10"/>
  <c r="G122" i="10" s="1"/>
  <c r="G124" i="10" s="1"/>
  <c r="G107" i="10"/>
  <c r="G142" i="10"/>
  <c r="G145" i="10" s="1"/>
  <c r="H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60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ID#AAABcN_8ZEg
Wussander Camello    (2025-02-13 00:35:04)
40%x8%x BCPR x5%(ocorrência)</t>
        </r>
      </text>
    </comment>
    <comment ref="F63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ID#AAABcN_8ZEY
Wussander Camello    (2025-02-13 00:35:04)
Cálculo do valor = [40%x8%x BCPR x95%  dos empregados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7a1I2CRgfABPvGcdrJjDeoKFphg=="/>
    </ext>
  </extLst>
</comments>
</file>

<file path=xl/sharedStrings.xml><?xml version="1.0" encoding="utf-8"?>
<sst xmlns="http://schemas.openxmlformats.org/spreadsheetml/2006/main" count="1479" uniqueCount="166">
  <si>
    <t>DISCRIMINAÇÃO DOS SERVIÇOS - DADOS REFERENTES À CONTRATAÇÃO</t>
  </si>
  <si>
    <t>Tipo de Serviço</t>
  </si>
  <si>
    <t>APOIO OPERACIONAL</t>
  </si>
  <si>
    <t>Classificação Brasileira de Ocupações (CBO)</t>
  </si>
  <si>
    <t>5143-20</t>
  </si>
  <si>
    <t>Categoria Profissional</t>
  </si>
  <si>
    <t>SEAC-AC</t>
  </si>
  <si>
    <t xml:space="preserve">Categoria do empregado </t>
  </si>
  <si>
    <t>Jardineiro</t>
  </si>
  <si>
    <t>Data base da categoria</t>
  </si>
  <si>
    <t>1º DE JANEIRO</t>
  </si>
  <si>
    <t xml:space="preserve">Número de  Meses da execução contratual </t>
  </si>
  <si>
    <t>Módulo 1: Composição da remuneração</t>
  </si>
  <si>
    <t>1.1</t>
  </si>
  <si>
    <t>Composição da Remuneração</t>
  </si>
  <si>
    <t>Valor (R$)</t>
  </si>
  <si>
    <t>A</t>
  </si>
  <si>
    <t>Salário Normativo da Categoria Profissional</t>
  </si>
  <si>
    <t>Dias  trabalho-mês</t>
  </si>
  <si>
    <t>B</t>
  </si>
  <si>
    <t>Adicional de  Insalubridade</t>
  </si>
  <si>
    <t>Grau Máx</t>
  </si>
  <si>
    <t>C</t>
  </si>
  <si>
    <t>Adicional de perículosidade</t>
  </si>
  <si>
    <t>D</t>
  </si>
  <si>
    <t>Adicional noturno</t>
  </si>
  <si>
    <t>E</t>
  </si>
  <si>
    <t>Hora noturna reduzida</t>
  </si>
  <si>
    <t>H Not reduz p/ dia:</t>
  </si>
  <si>
    <t>Horas not red/mês:</t>
  </si>
  <si>
    <t>F</t>
  </si>
  <si>
    <t xml:space="preserve">Intervalo Intrajornada  laborado </t>
  </si>
  <si>
    <t>G</t>
  </si>
  <si>
    <t>Descanso semanal remunerado</t>
  </si>
  <si>
    <t>H</t>
  </si>
  <si>
    <t>Horas IN ITINERE</t>
  </si>
  <si>
    <t>Horas de desloc. (mês)</t>
  </si>
  <si>
    <t>Valor hora/homem</t>
  </si>
  <si>
    <t>Total da Remuneração</t>
  </si>
  <si>
    <t>Módulo 2 - Encargos e Benefícios Anuais, Mensais e Diários</t>
  </si>
  <si>
    <t>2.1</t>
  </si>
  <si>
    <t>13º Salário e Adicional de Férias</t>
  </si>
  <si>
    <t>Percentual (%)</t>
  </si>
  <si>
    <t>Valor(R$)</t>
  </si>
  <si>
    <t>13º (décimo terceiro salário)</t>
  </si>
  <si>
    <t>Férias e Adicional de Férias</t>
  </si>
  <si>
    <t>Total</t>
  </si>
  <si>
    <t>2.2</t>
  </si>
  <si>
    <t>Encargos Previdenciários (GPS), Fundo de Garantia por Tempo de Serviço</t>
  </si>
  <si>
    <t>INSS ( art 22, inc I Lei 8.212/91)</t>
  </si>
  <si>
    <t>SESI OU SESC (art 30 Lei 8.036/90)</t>
  </si>
  <si>
    <t xml:space="preserve">SENAI OU SENAC (art  30 Dec Lei  2.318/86) </t>
  </si>
  <si>
    <t>INCRA (art 1 e 2 Decr Lei 1146/70)</t>
  </si>
  <si>
    <t>Salário educação (art. 15, da Lei nº 9.424/96; do art. 2º do Decr 3.142/99; e art. 212, § 5º da CF)</t>
  </si>
  <si>
    <t>FGTS (art 15 Lei nº 8.030/90)</t>
  </si>
  <si>
    <t>RAT</t>
  </si>
  <si>
    <t>FAP</t>
  </si>
  <si>
    <t>SEBRAE ( Lei 8.029/90)</t>
  </si>
  <si>
    <t>2.3</t>
  </si>
  <si>
    <t>Benefícios Mensais e Diários</t>
  </si>
  <si>
    <t>Vale transporte (Dec 1.438/21) (CCT - 11º)</t>
  </si>
  <si>
    <t>Auxílio alimentação (CCT - 10º)</t>
  </si>
  <si>
    <t>Seguro de vida em grupo (CCT 34ª)</t>
  </si>
  <si>
    <t>Assistência Social, familiar ao Auxílio Funeral (CCT 12ª)</t>
  </si>
  <si>
    <t>SESMT, PCMSO, PPRA e CIPA (CCT 30ª)</t>
  </si>
  <si>
    <t>Kit de primeiros socorros (CCT 32ª)</t>
  </si>
  <si>
    <t>Programa de Incentivo a Cultura do trabalhador (CCT 21º)</t>
  </si>
  <si>
    <t>Total de Benefícios mensais e diários</t>
  </si>
  <si>
    <t>Quadro Resumo do Módulo 2 - Encargos e Benefícios anuais, mensais e diários</t>
  </si>
  <si>
    <t>GPS, FGTS e outras contribuições</t>
  </si>
  <si>
    <t>Total Quadro Resumo do Módulo 2</t>
  </si>
  <si>
    <t>Módulo 3 - Provisão para Rescisão</t>
  </si>
  <si>
    <t>Provisão para rescisão</t>
  </si>
  <si>
    <t>Aviso Prévio Indenizado - API</t>
  </si>
  <si>
    <t>Percentual de ocorrência anual (Resolução 98/2009 CNJ)</t>
  </si>
  <si>
    <t>Incidência do FGTS sobre Aviso Prévio indenizado - API</t>
  </si>
  <si>
    <t>Multa do FGTS sobre Aviso Prévio indenizado - API</t>
  </si>
  <si>
    <t>Aviso prévio trabalhado - APT (Acórdão TCU 1.586/2018)</t>
  </si>
  <si>
    <t>Incidência dos encargos do submódulo 2.2 sobre Aviso Prévio Trabalhado</t>
  </si>
  <si>
    <t>Multa do FGTS sobre Aviso Prévio Trabalhado</t>
  </si>
  <si>
    <t>Módulo 4 - Custo de Reposição do Profissional Ausente</t>
  </si>
  <si>
    <t>4.1</t>
  </si>
  <si>
    <t>Submódulo 4.1 - Substituição em Ausências Legais</t>
  </si>
  <si>
    <t xml:space="preserve">Base de cálculo para o custo do profissional ausente Conforme Relatório do Acórdão TCU nº 1.753/2008 do Plenário e orientações SEGES/MP </t>
  </si>
  <si>
    <t>Substituto na cobertura de férias</t>
  </si>
  <si>
    <t>Substituto nas ausências legais</t>
  </si>
  <si>
    <t>Dias de ocorrência por ano</t>
  </si>
  <si>
    <t>Substituto na Cobertura de Licença-Paternidade</t>
  </si>
  <si>
    <t>dias de afastamento</t>
  </si>
  <si>
    <t>Percentual de ocorrência anual</t>
  </si>
  <si>
    <t>Substituto na ausência por acidente de trabalho</t>
  </si>
  <si>
    <t xml:space="preserve">dias afastamento </t>
  </si>
  <si>
    <t>Substituto Afastamento Maternidade</t>
  </si>
  <si>
    <t>Taxa de natalidade:</t>
  </si>
  <si>
    <t>Total do Submódulo 4.1</t>
  </si>
  <si>
    <t>4.2</t>
  </si>
  <si>
    <t>Substituto na  Intrajornada</t>
  </si>
  <si>
    <t>Substituto nas cobertura de  Intervalo para repouso ou alimentação</t>
  </si>
  <si>
    <t>Quadro Resumo do Módulo 4 - Custo de Reposição do Profissional Ausente</t>
  </si>
  <si>
    <t xml:space="preserve">Substituto nas Ausências Legais </t>
  </si>
  <si>
    <t xml:space="preserve">Sunstituto na Intrajornada </t>
  </si>
  <si>
    <t xml:space="preserve">Módulo 5 - Insumos Diversos </t>
  </si>
  <si>
    <t>Insumos Diversos</t>
  </si>
  <si>
    <t>Uniformes e EPIs</t>
  </si>
  <si>
    <t>Equipamentos</t>
  </si>
  <si>
    <t>Materiais</t>
  </si>
  <si>
    <t>Ponto Eletrônico</t>
  </si>
  <si>
    <t xml:space="preserve">Total </t>
  </si>
  <si>
    <t>Mão de obra vinculada à execução contratual (valor por empregado) – Custos  diretos</t>
  </si>
  <si>
    <t>Módulo 1 - Composição da remuneração</t>
  </si>
  <si>
    <t>Módulo 3 -  Provisão para Rescisão</t>
  </si>
  <si>
    <t>Custo Direto: Subtotal (A+B+C+D+E)</t>
  </si>
  <si>
    <t>Módulo 6 : Custos Indiretos, Tributos e Lucro</t>
  </si>
  <si>
    <t>Custos Indiretos, Tributos e Lucro</t>
  </si>
  <si>
    <t>Custos indiretos / Despesas Administrativas e Operacionais</t>
  </si>
  <si>
    <t>Lucro</t>
  </si>
  <si>
    <t>Tributos</t>
  </si>
  <si>
    <t>c.1 - Tributos Federais</t>
  </si>
  <si>
    <t>PIS</t>
  </si>
  <si>
    <t>COFINS</t>
  </si>
  <si>
    <t>IRPJ</t>
  </si>
  <si>
    <t>IRPJ ADICIONAL*</t>
  </si>
  <si>
    <t>CSLL</t>
  </si>
  <si>
    <t>c.2 - Tributos Estaduais</t>
  </si>
  <si>
    <t>c.3 - Tributos Municipais</t>
  </si>
  <si>
    <t>ISSQN: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</si>
  <si>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</si>
  <si>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</si>
  <si>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</si>
  <si>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</si>
  <si>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</si>
  <si>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</si>
  <si>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</si>
  <si>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QUADRO-RESUMO DO CUSTO POR EMPREGADO</t>
  </si>
  <si>
    <t>Mão de obra vinculada à execução contratual (valor por empregado)</t>
  </si>
  <si>
    <t>(R$)</t>
  </si>
  <si>
    <t>Módulo 6 - Custos indiretos, tributos e lucro</t>
  </si>
  <si>
    <t>Valor total por empregado</t>
  </si>
  <si>
    <t>Valor total por empregado anual</t>
  </si>
  <si>
    <t>QUADRO-RESUMO DO CUSTO PARA PLANILHA 2 NFE</t>
  </si>
  <si>
    <t>Módulo 6 - Custos indiretos, tributos e lucro - PLANILHA 2 NFE</t>
  </si>
  <si>
    <t>auxiliar de jardineiro</t>
  </si>
  <si>
    <t>operador de roçadeira costal</t>
  </si>
  <si>
    <t>Valor total - 1 FUNCIONARIOS</t>
  </si>
  <si>
    <t>encarregado geral</t>
  </si>
  <si>
    <t>motorista caminhão</t>
  </si>
  <si>
    <t>Mão de obra vinculada à execução contratual (total/0</t>
  </si>
  <si>
    <t>7 - JARDINEIROS</t>
  </si>
  <si>
    <t>4 - AUXILIARES DE JARDINEIRO</t>
  </si>
  <si>
    <t>7 - OPERADORES DE ROÇADEIRA</t>
  </si>
  <si>
    <t>1 - AUXILIAR ENCARREGADO</t>
  </si>
  <si>
    <t>1 - ENCARREGADO GERAL</t>
  </si>
  <si>
    <t>J</t>
  </si>
  <si>
    <t>2 - MOTORISTA CAMINHAO</t>
  </si>
  <si>
    <t>INSS</t>
  </si>
  <si>
    <t>Valor do salário normativo da Categoria (AC000002/2025)</t>
  </si>
  <si>
    <t>1 - ALMOXARIFE</t>
  </si>
  <si>
    <t>almoxarife</t>
  </si>
  <si>
    <t>12 - JARDINEIROS</t>
  </si>
  <si>
    <t>Valor total - 12 FUNCIONARIOS</t>
  </si>
  <si>
    <t>Valor total - 32 FUNCIONARIOS</t>
  </si>
  <si>
    <t>Valor total - 10 FUNCIONARIOS</t>
  </si>
  <si>
    <t>32 - AUXILIARES DE JARDINEIRO</t>
  </si>
  <si>
    <t>10 - OPERADORES DE ROÇADEIRA</t>
  </si>
  <si>
    <t>1 - MOTORISTA CAMINHAO</t>
  </si>
  <si>
    <t>Valor total - 57 FUNCIONARIOS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</si>
</sst>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 &quot;#,##0.00_);[Red]\(&quot;R$ &quot;#,##0.00\)"/>
    <numFmt numFmtId="165" formatCode="_-&quot;R$&quot;\ * #,##0.00_-;\-&quot;R$&quot;\ * #,##0.00_-;_-&quot;R$&quot;\ * &quot;-&quot;??_-;_-@"/>
    <numFmt numFmtId="166" formatCode="[$R$-416]\ #,##0.00;[Red]\-[$R$-416]\ #,##0.00"/>
    <numFmt numFmtId="167" formatCode="#,##0.00\ ;[Red]\-#,##0.00\ "/>
    <numFmt numFmtId="168" formatCode="#,##0.00;[Red]#,##0.00"/>
    <numFmt numFmtId="169" formatCode="0.000%"/>
    <numFmt numFmtId="170" formatCode="0.0%"/>
    <numFmt numFmtId="171" formatCode="&quot;R$ &quot;#,##0.00"/>
    <numFmt numFmtId="172" formatCode="[$R$ -416]#,##0.00"/>
  </numFmts>
  <fonts count="21" x14ac:knownFonts="1">
    <font>
      <sz val="11"/>
      <color theme="1"/>
      <name val="Calibri"/>
      <scheme val="minor"/>
    </font>
    <font>
      <b/>
      <sz val="12"/>
      <color theme="0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8496B0"/>
      <name val="Calibri"/>
      <family val="2"/>
    </font>
    <font>
      <sz val="10"/>
      <color rgb="FF000000"/>
      <name val="Calibri"/>
      <family val="2"/>
    </font>
    <font>
      <b/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u/>
      <sz val="10"/>
      <color rgb="FF000000"/>
      <name val="Calibri"/>
      <family val="2"/>
    </font>
    <font>
      <sz val="7"/>
      <color rgb="FF000000"/>
      <name val="Calibri"/>
      <family val="2"/>
    </font>
    <font>
      <b/>
      <sz val="10"/>
      <color rgb="FF8496B0"/>
      <name val="Calibri"/>
      <family val="2"/>
    </font>
    <font>
      <sz val="10"/>
      <color rgb="FF8496B0"/>
      <name val="Calibri"/>
      <family val="2"/>
    </font>
    <font>
      <b/>
      <sz val="10"/>
      <color rgb="FFFF0000"/>
      <name val="Calibri"/>
      <family val="2"/>
    </font>
    <font>
      <b/>
      <sz val="12"/>
      <color rgb="FFFFFFFF"/>
      <name val="Calibri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496B0"/>
        <bgColor rgb="FF8496B0"/>
      </patternFill>
    </fill>
    <fill>
      <patternFill patternType="solid">
        <fgColor rgb="FFD6DCE4"/>
        <bgColor rgb="FFD6DCE4"/>
      </patternFill>
    </fill>
    <fill>
      <patternFill patternType="solid">
        <fgColor rgb="FFD9E2F3"/>
        <bgColor rgb="FFD9E2F3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right" vertical="center"/>
    </xf>
    <xf numFmtId="9" fontId="5" fillId="3" borderId="4" xfId="0" applyNumberFormat="1" applyFont="1" applyFill="1" applyBorder="1" applyAlignment="1">
      <alignment horizontal="center" vertical="center"/>
    </xf>
    <xf numFmtId="166" fontId="6" fillId="0" borderId="4" xfId="0" applyNumberFormat="1" applyFont="1" applyBorder="1" applyAlignment="1">
      <alignment vertical="center"/>
    </xf>
    <xf numFmtId="166" fontId="8" fillId="0" borderId="4" xfId="0" applyNumberFormat="1" applyFont="1" applyBorder="1" applyAlignment="1">
      <alignment horizontal="center" vertical="center"/>
    </xf>
    <xf numFmtId="167" fontId="5" fillId="3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" fontId="5" fillId="3" borderId="4" xfId="0" applyNumberFormat="1" applyFont="1" applyFill="1" applyBorder="1" applyAlignment="1">
      <alignment horizontal="center" vertical="center"/>
    </xf>
    <xf numFmtId="165" fontId="11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0" fontId="9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11" fillId="3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0" fontId="9" fillId="3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center" vertical="center"/>
    </xf>
    <xf numFmtId="165" fontId="6" fillId="4" borderId="4" xfId="0" applyNumberFormat="1" applyFont="1" applyFill="1" applyBorder="1" applyAlignment="1">
      <alignment horizontal="center" vertical="center"/>
    </xf>
    <xf numFmtId="165" fontId="11" fillId="4" borderId="4" xfId="0" applyNumberFormat="1" applyFont="1" applyFill="1" applyBorder="1" applyAlignment="1">
      <alignment horizontal="center" vertical="center"/>
    </xf>
    <xf numFmtId="0" fontId="5" fillId="0" borderId="0" xfId="0" applyFont="1"/>
    <xf numFmtId="10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horizontal="center"/>
    </xf>
    <xf numFmtId="10" fontId="9" fillId="0" borderId="5" xfId="0" applyNumberFormat="1" applyFont="1" applyBorder="1" applyAlignment="1">
      <alignment horizontal="center" vertical="center"/>
    </xf>
    <xf numFmtId="10" fontId="9" fillId="3" borderId="7" xfId="0" applyNumberFormat="1" applyFont="1" applyFill="1" applyBorder="1" applyAlignment="1">
      <alignment horizontal="center" vertical="center"/>
    </xf>
    <xf numFmtId="169" fontId="9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70" fontId="9" fillId="3" borderId="4" xfId="0" applyNumberFormat="1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165" fontId="12" fillId="3" borderId="8" xfId="0" applyNumberFormat="1" applyFont="1" applyFill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5" fontId="12" fillId="3" borderId="9" xfId="0" applyNumberFormat="1" applyFont="1" applyFill="1" applyBorder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171" fontId="9" fillId="0" borderId="4" xfId="0" applyNumberFormat="1" applyFont="1" applyBorder="1" applyAlignment="1">
      <alignment horizontal="center" vertical="center"/>
    </xf>
    <xf numFmtId="9" fontId="9" fillId="3" borderId="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7" xfId="0" applyFont="1" applyBorder="1"/>
    <xf numFmtId="0" fontId="16" fillId="0" borderId="17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10" fontId="16" fillId="0" borderId="17" xfId="0" applyNumberFormat="1" applyFont="1" applyBorder="1" applyAlignment="1">
      <alignment horizontal="center"/>
    </xf>
    <xf numFmtId="165" fontId="16" fillId="0" borderId="12" xfId="0" applyNumberFormat="1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6" fillId="0" borderId="14" xfId="0" applyNumberFormat="1" applyFont="1" applyBorder="1" applyAlignment="1">
      <alignment horizontal="center"/>
    </xf>
    <xf numFmtId="0" fontId="17" fillId="0" borderId="13" xfId="0" applyFont="1" applyBorder="1"/>
    <xf numFmtId="10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15" xfId="0" applyFont="1" applyBorder="1" applyAlignment="1">
      <alignment horizontal="center"/>
    </xf>
    <xf numFmtId="0" fontId="16" fillId="0" borderId="18" xfId="0" applyFont="1" applyBorder="1"/>
    <xf numFmtId="0" fontId="16" fillId="0" borderId="18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10" fontId="16" fillId="0" borderId="18" xfId="0" applyNumberFormat="1" applyFont="1" applyBorder="1" applyAlignment="1">
      <alignment horizontal="center"/>
    </xf>
    <xf numFmtId="165" fontId="16" fillId="0" borderId="16" xfId="0" applyNumberFormat="1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8" xfId="0" applyFont="1" applyBorder="1"/>
    <xf numFmtId="0" fontId="18" fillId="0" borderId="18" xfId="0" applyFont="1" applyBorder="1" applyAlignment="1">
      <alignment horizontal="center"/>
    </xf>
    <xf numFmtId="10" fontId="18" fillId="0" borderId="18" xfId="0" applyNumberFormat="1" applyFont="1" applyBorder="1" applyAlignment="1">
      <alignment horizontal="center"/>
    </xf>
    <xf numFmtId="165" fontId="18" fillId="0" borderId="16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2" fontId="20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1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2" fillId="0" borderId="6" xfId="0" applyFont="1" applyBorder="1"/>
    <xf numFmtId="0" fontId="19" fillId="2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2" fillId="0" borderId="10" xfId="0" applyFont="1" applyBorder="1"/>
    <xf numFmtId="0" fontId="9" fillId="0" borderId="11" xfId="0" applyFont="1" applyBorder="1" applyAlignment="1">
      <alignment horizontal="left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9" fillId="0" borderId="1" xfId="0" applyFont="1" applyBorder="1" applyAlignment="1">
      <alignment horizontal="left" vertical="center"/>
    </xf>
    <xf numFmtId="10" fontId="9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0" fontId="9" fillId="5" borderId="5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7" Type="http://customschemas.google.com/relationships/workbookmetadata" Target="metadata"/><Relationship Id="rId2" Type="http://schemas.openxmlformats.org/officeDocument/2006/relationships/worksheet" Target="worksheets/sheet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03"/>
  <sheetViews>
    <sheetView workbookViewId="0">
      <selection activeCell="K10" sqref="K10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144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4220.33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4220.33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4220.33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351.55348900000001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468.87866300000002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820.43215200000009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844.06600000000003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63.304949999999998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42.203299999999999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8.4406599999999994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105.50825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337.62639999999999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126.6099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25.32198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1553.0814399999997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31.652474999999999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1260.8524750000001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820.43215200000009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1553.0814399999997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1260.8524750000001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3634.3660669999999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17.584708333333332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1.4067766666666666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6.7525279999999999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82.061972222222224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0.38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128.29803200000001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236.48401722222223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5040.7621520000002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351.55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14.002117088888889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1.0501587816666667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1.6382476993999999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1.6364733511224963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369.87699692107805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369.87699692107805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369.87699692107805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4220.33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3634.3660669999999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236.48401722222223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369.87699692107805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8518.0570811433008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851.80570811433017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936.98627892576314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1621.2673584252475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3410.06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10306.85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12230.746410347692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1923.89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4220.33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3634.3660669999999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236.48401722222223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369.87699692107805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3410.06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11928.11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143137.32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4220.33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3634.3660669999999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236.48401722222223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369.87699692107805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8518.0499999999993</v>
      </c>
    </row>
    <row r="146" spans="1:7" ht="15.75" customHeight="1" x14ac:dyDescent="0.3">
      <c r="A146" s="49" t="s">
        <v>34</v>
      </c>
      <c r="B146" s="100" t="s">
        <v>143</v>
      </c>
      <c r="C146" s="98"/>
      <c r="D146" s="98"/>
      <c r="E146" s="98"/>
      <c r="F146" s="99"/>
      <c r="G146" s="18">
        <f>G145*1</f>
        <v>8518.0499999999993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3"/>
  <sheetViews>
    <sheetView topLeftCell="A79" workbookViewId="0">
      <selection activeCell="K125" sqref="K125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157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2574.37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2574.37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2574.37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214.445021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286.01250699999997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500.45752799999997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514.87400000000002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38.615549999999999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25.7437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5.1487400000000001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64.359250000000003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205.9496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77.231099999999998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15.44622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947.36815999999999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19.307774999999999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1248.507775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500.45752799999997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947.36815999999999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1248.507775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2696.3334629999999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10.726541666666666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0.85812333333333324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4.1189920000000004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50.057194444444441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0.23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78.260847999999996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144.25169944444445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3074.8275279999998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214.45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8.5411875777777784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0.64058906833333329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0.99931894659999987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0.99823660731014396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225.62933220002122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225.62933220002122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225.62933220002122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2574.37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2696.3334629999999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144.25169944444445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225.62933220002122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5697.5844946444649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569.75844946444647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626.73429441089115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1084.4383496191647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2280.9299999999998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6894.08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8180.942209564495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1286.8599999999999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2574.37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2696.3334629999999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144.25169944444445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225.62933220002122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2280.9299999999998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7978.51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95742.12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2574.37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2696.3334629999999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144.25169944444445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225.62933220002122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5697.58</v>
      </c>
    </row>
    <row r="146" spans="1:7" ht="15.75" customHeight="1" x14ac:dyDescent="0.3">
      <c r="A146" s="49" t="s">
        <v>34</v>
      </c>
      <c r="B146" s="100" t="s">
        <v>143</v>
      </c>
      <c r="C146" s="98"/>
      <c r="D146" s="98"/>
      <c r="E146" s="98"/>
      <c r="F146" s="99"/>
      <c r="G146" s="18">
        <f>G145*1</f>
        <v>5697.58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3"/>
  <sheetViews>
    <sheetView workbookViewId="0">
      <selection activeCell="G147" sqref="G147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141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1743.69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1743.69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1743.69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145.24937700000001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193.72395900000001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338.97333600000002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348.73800000000006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26.155349999999999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17.436900000000001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3.4873800000000004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43.592250000000007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139.49520000000001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52.310699999999997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10.46214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641.67791999999997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13.077674999999999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1242.277675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338.97333600000002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641.67791999999997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1242.277675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2222.9289309999999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7.2653749999999997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0.58123000000000002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2.7899040000000004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33.905083333333337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0.16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53.008175999999999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97.709768333333329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2082.6633360000001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145.25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5.7851759333333339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0.43388819499999998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0.67686558419999998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0.67613248670572812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152.82206219923907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152.82206219923907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152.82206219923907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1743.69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2222.9289309999999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97.709768333333329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152.82206219923907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4274.1507615325718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427.41507615325719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470.15658376858295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813.51193689477884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1711.08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5171.72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6137.0831850005934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965.36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1743.69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2222.9289309999999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97.709768333333329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152.82206219923907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1711.08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5985.23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71822.759999999995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1743.69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2222.9289309999999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97.709768333333329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152.82206219923907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4274.1499999999996</v>
      </c>
    </row>
    <row r="146" spans="1:7" ht="15.75" customHeight="1" x14ac:dyDescent="0.3">
      <c r="A146" s="49" t="s">
        <v>34</v>
      </c>
      <c r="B146" s="100" t="s">
        <v>160</v>
      </c>
      <c r="C146" s="98"/>
      <c r="D146" s="98"/>
      <c r="E146" s="98"/>
      <c r="F146" s="99"/>
      <c r="G146" s="18">
        <f>G145*32</f>
        <v>136772.79999999999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3"/>
  <sheetViews>
    <sheetView workbookViewId="0">
      <selection activeCell="B8" sqref="B8:E8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8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2574.37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2574.37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2574.37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214.445021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286.01250699999997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500.45752799999997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514.87400000000002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38.615549999999999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25.7437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5.1487400000000001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64.359250000000003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205.9496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77.231099999999998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15.44622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947.36815999999999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19.307774999999999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1248.507775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500.45752799999997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947.36815999999999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1248.507775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2696.3334629999999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10.726541666666666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0.85812333333333324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4.1189920000000004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50.057194444444441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0.23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78.260847999999996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144.25169944444445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3074.8275279999998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214.45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8.5411875777777784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0.64058906833333329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0.99931894659999987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0.99823660731014396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225.62933220002122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225.62933220002122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225.62933220002122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2574.37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2696.3334629999999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144.25169944444445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225.62933220002122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5697.5844946444649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569.75844946444647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626.73429441089115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1084.4383496191647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2280.9299999999998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6894.08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8180.942209564495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1286.8599999999999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2574.37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2696.3334629999999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144.25169944444445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225.62933220002122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2280.9299999999998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7978.51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95742.12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2574.37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2696.3334629999999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144.25169944444445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225.62933220002122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5697.58</v>
      </c>
    </row>
    <row r="146" spans="1:7" ht="15.75" customHeight="1" x14ac:dyDescent="0.3">
      <c r="A146" s="49" t="s">
        <v>34</v>
      </c>
      <c r="B146" s="100" t="s">
        <v>159</v>
      </c>
      <c r="C146" s="98"/>
      <c r="D146" s="98"/>
      <c r="E146" s="98"/>
      <c r="F146" s="99"/>
      <c r="G146" s="18">
        <f>G145*12</f>
        <v>68370.959999999992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03"/>
  <sheetViews>
    <sheetView topLeftCell="A55" workbookViewId="0">
      <selection activeCell="L149" sqref="L149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145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2452.91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2452.91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2452.91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204.32740299999998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272.51830100000001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476.84570399999996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490.58199999999999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36.79365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24.5291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4.9058199999999994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61.322749999999999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196.2328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73.587299999999999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14.717459999999999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902.6708799999999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18.396825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1247.5968250000001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476.84570399999996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902.6708799999999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1247.5968250000001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2627.113409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10.220458333333333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0.81763666666666657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3.9246560000000001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47.695472222222222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0.22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74.568463999999992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137.44668722222221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2929.7557039999997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204.33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8.1382102888888888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0.61036577166666661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0.95217060379999985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0.95113932979219196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214.98188599414777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214.98188599414777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214.98188599414777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2452.91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2627.113409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137.44668722222221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214.98188599414777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5489.4519822163693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548.94519822163693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603.83971804380064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1044.823864131188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2197.61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6642.24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7882.0932716269135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1239.8499999999999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2452.91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2627.113409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137.44668722222221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214.98188599414777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2197.61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7687.06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92244.72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2452.91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2627.113409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137.44668722222221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214.98188599414777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5489.45</v>
      </c>
    </row>
    <row r="146" spans="1:7" ht="15.75" customHeight="1" x14ac:dyDescent="0.3">
      <c r="A146" s="49" t="s">
        <v>34</v>
      </c>
      <c r="B146" s="100" t="s">
        <v>143</v>
      </c>
      <c r="C146" s="98"/>
      <c r="D146" s="98"/>
      <c r="E146" s="98"/>
      <c r="F146" s="99"/>
      <c r="G146" s="18">
        <f>G145*1</f>
        <v>5489.45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03"/>
  <sheetViews>
    <sheetView tabSelected="1" topLeftCell="A127" workbookViewId="0">
      <selection activeCell="P138" sqref="P138"/>
    </sheetView>
  </sheetViews>
  <sheetFormatPr defaultColWidth="14.44140625" defaultRowHeight="15" customHeight="1" x14ac:dyDescent="0.3"/>
  <cols>
    <col min="1" max="1" width="5.44140625" customWidth="1"/>
    <col min="2" max="2" width="19.6640625" customWidth="1"/>
    <col min="3" max="3" width="20.109375" customWidth="1"/>
    <col min="4" max="4" width="19.44140625" customWidth="1"/>
    <col min="5" max="5" width="15.6640625" customWidth="1"/>
    <col min="6" max="6" width="19.44140625" customWidth="1"/>
    <col min="7" max="7" width="24.44140625" customWidth="1"/>
    <col min="8" max="26" width="8.6640625" customWidth="1"/>
  </cols>
  <sheetData>
    <row r="1" spans="1:7" ht="15.6" x14ac:dyDescent="0.3">
      <c r="A1" s="106" t="s">
        <v>0</v>
      </c>
      <c r="B1" s="98"/>
      <c r="C1" s="98"/>
      <c r="D1" s="98"/>
      <c r="E1" s="98"/>
      <c r="F1" s="98"/>
      <c r="G1" s="99"/>
    </row>
    <row r="2" spans="1:7" ht="14.4" x14ac:dyDescent="0.3">
      <c r="A2" s="1">
        <v>1</v>
      </c>
      <c r="B2" s="122" t="s">
        <v>1</v>
      </c>
      <c r="C2" s="98"/>
      <c r="D2" s="98"/>
      <c r="E2" s="99"/>
      <c r="F2" s="133" t="s">
        <v>2</v>
      </c>
      <c r="G2" s="99"/>
    </row>
    <row r="3" spans="1:7" ht="14.4" x14ac:dyDescent="0.3">
      <c r="A3" s="1">
        <v>2</v>
      </c>
      <c r="B3" s="122" t="s">
        <v>3</v>
      </c>
      <c r="C3" s="98"/>
      <c r="D3" s="98"/>
      <c r="E3" s="99"/>
      <c r="F3" s="133" t="s">
        <v>4</v>
      </c>
      <c r="G3" s="99"/>
    </row>
    <row r="4" spans="1:7" ht="14.4" x14ac:dyDescent="0.3">
      <c r="A4" s="1">
        <v>3</v>
      </c>
      <c r="B4" s="122" t="s">
        <v>5</v>
      </c>
      <c r="C4" s="98"/>
      <c r="D4" s="98"/>
      <c r="E4" s="99"/>
      <c r="F4" s="133" t="s">
        <v>6</v>
      </c>
      <c r="G4" s="99"/>
    </row>
    <row r="5" spans="1:7" ht="14.4" x14ac:dyDescent="0.3">
      <c r="A5" s="1">
        <v>4</v>
      </c>
      <c r="B5" s="122" t="s">
        <v>7</v>
      </c>
      <c r="C5" s="98"/>
      <c r="D5" s="98"/>
      <c r="E5" s="99"/>
      <c r="F5" s="136" t="s">
        <v>142</v>
      </c>
      <c r="G5" s="99"/>
    </row>
    <row r="6" spans="1:7" ht="14.4" x14ac:dyDescent="0.3">
      <c r="A6" s="1">
        <v>5</v>
      </c>
      <c r="B6" s="122" t="s">
        <v>9</v>
      </c>
      <c r="C6" s="98"/>
      <c r="D6" s="98"/>
      <c r="E6" s="99"/>
      <c r="F6" s="133" t="s">
        <v>10</v>
      </c>
      <c r="G6" s="99"/>
    </row>
    <row r="7" spans="1:7" ht="14.4" x14ac:dyDescent="0.3">
      <c r="A7" s="1">
        <v>6</v>
      </c>
      <c r="B7" s="122" t="s">
        <v>11</v>
      </c>
      <c r="C7" s="98"/>
      <c r="D7" s="98"/>
      <c r="E7" s="99"/>
      <c r="F7" s="133">
        <v>12</v>
      </c>
      <c r="G7" s="99"/>
    </row>
    <row r="8" spans="1:7" ht="14.4" x14ac:dyDescent="0.3">
      <c r="A8" s="1">
        <v>7</v>
      </c>
      <c r="B8" s="122" t="s">
        <v>155</v>
      </c>
      <c r="C8" s="98"/>
      <c r="D8" s="98"/>
      <c r="E8" s="99"/>
      <c r="F8" s="134">
        <v>1802.16</v>
      </c>
      <c r="G8" s="99"/>
    </row>
    <row r="9" spans="1:7" ht="14.4" x14ac:dyDescent="0.3">
      <c r="A9" s="2"/>
      <c r="B9" s="3"/>
      <c r="C9" s="4"/>
      <c r="D9" s="4"/>
      <c r="E9" s="4"/>
      <c r="F9" s="4"/>
      <c r="G9" s="5"/>
    </row>
    <row r="10" spans="1:7" ht="15.6" x14ac:dyDescent="0.3">
      <c r="A10" s="106" t="s">
        <v>12</v>
      </c>
      <c r="B10" s="98"/>
      <c r="C10" s="98"/>
      <c r="D10" s="98"/>
      <c r="E10" s="98"/>
      <c r="F10" s="98"/>
      <c r="G10" s="99"/>
    </row>
    <row r="11" spans="1:7" ht="14.4" x14ac:dyDescent="0.3">
      <c r="A11" s="6" t="s">
        <v>13</v>
      </c>
      <c r="B11" s="127" t="s">
        <v>14</v>
      </c>
      <c r="C11" s="98"/>
      <c r="D11" s="98"/>
      <c r="E11" s="98"/>
      <c r="F11" s="99"/>
      <c r="G11" s="7" t="s">
        <v>15</v>
      </c>
    </row>
    <row r="12" spans="1:7" ht="14.4" x14ac:dyDescent="0.3">
      <c r="A12" s="8" t="s">
        <v>16</v>
      </c>
      <c r="B12" s="135" t="s">
        <v>17</v>
      </c>
      <c r="C12" s="98"/>
      <c r="D12" s="99"/>
      <c r="E12" s="9" t="s">
        <v>18</v>
      </c>
      <c r="F12" s="10">
        <v>22</v>
      </c>
      <c r="G12" s="11">
        <f>F8</f>
        <v>1802.16</v>
      </c>
    </row>
    <row r="13" spans="1:7" ht="14.4" x14ac:dyDescent="0.3">
      <c r="A13" s="8" t="s">
        <v>19</v>
      </c>
      <c r="B13" s="129" t="s">
        <v>20</v>
      </c>
      <c r="C13" s="98"/>
      <c r="D13" s="98"/>
      <c r="E13" s="9" t="s">
        <v>21</v>
      </c>
      <c r="F13" s="12">
        <v>0</v>
      </c>
      <c r="G13" s="11">
        <f>1100*F13</f>
        <v>0</v>
      </c>
    </row>
    <row r="14" spans="1:7" ht="14.4" x14ac:dyDescent="0.3">
      <c r="A14" s="8" t="s">
        <v>22</v>
      </c>
      <c r="B14" s="129" t="s">
        <v>23</v>
      </c>
      <c r="C14" s="98"/>
      <c r="D14" s="98"/>
      <c r="E14" s="98"/>
      <c r="F14" s="99"/>
      <c r="G14" s="11"/>
    </row>
    <row r="15" spans="1:7" ht="14.4" x14ac:dyDescent="0.3">
      <c r="A15" s="8" t="s">
        <v>24</v>
      </c>
      <c r="B15" s="130" t="s">
        <v>25</v>
      </c>
      <c r="C15" s="98"/>
      <c r="D15" s="98"/>
      <c r="E15" s="98"/>
      <c r="F15" s="99"/>
      <c r="G15" s="11"/>
    </row>
    <row r="16" spans="1:7" ht="14.4" x14ac:dyDescent="0.3">
      <c r="A16" s="8" t="s">
        <v>26</v>
      </c>
      <c r="B16" s="13" t="s">
        <v>27</v>
      </c>
      <c r="C16" s="14" t="s">
        <v>28</v>
      </c>
      <c r="D16" s="15"/>
      <c r="E16" s="14" t="s">
        <v>29</v>
      </c>
      <c r="F16" s="15">
        <f>ROUND(D16*F12,2)</f>
        <v>0</v>
      </c>
      <c r="G16" s="11"/>
    </row>
    <row r="17" spans="1:7" ht="14.4" x14ac:dyDescent="0.3">
      <c r="A17" s="8" t="s">
        <v>30</v>
      </c>
      <c r="B17" s="131" t="s">
        <v>31</v>
      </c>
      <c r="C17" s="98"/>
      <c r="D17" s="98"/>
      <c r="E17" s="98"/>
      <c r="F17" s="99"/>
      <c r="G17" s="11"/>
    </row>
    <row r="18" spans="1:7" ht="14.4" x14ac:dyDescent="0.3">
      <c r="A18" s="8" t="s">
        <v>32</v>
      </c>
      <c r="B18" s="132" t="s">
        <v>33</v>
      </c>
      <c r="C18" s="98"/>
      <c r="D18" s="98"/>
      <c r="E18" s="98"/>
      <c r="F18" s="99"/>
      <c r="G18" s="11"/>
    </row>
    <row r="19" spans="1:7" ht="14.4" x14ac:dyDescent="0.3">
      <c r="A19" s="8" t="s">
        <v>34</v>
      </c>
      <c r="B19" s="16" t="s">
        <v>35</v>
      </c>
      <c r="C19" s="9" t="s">
        <v>36</v>
      </c>
      <c r="D19" s="15">
        <v>0</v>
      </c>
      <c r="E19" s="9" t="s">
        <v>37</v>
      </c>
      <c r="F19" s="17"/>
      <c r="G19" s="11">
        <f>TRUNC(F19*D19,2)</f>
        <v>0</v>
      </c>
    </row>
    <row r="20" spans="1:7" ht="14.4" x14ac:dyDescent="0.3">
      <c r="A20" s="127" t="s">
        <v>38</v>
      </c>
      <c r="B20" s="98"/>
      <c r="C20" s="98"/>
      <c r="D20" s="98"/>
      <c r="E20" s="98"/>
      <c r="F20" s="99"/>
      <c r="G20" s="18">
        <f>SUM(G12:G19)</f>
        <v>1802.16</v>
      </c>
    </row>
    <row r="21" spans="1:7" ht="15.75" customHeight="1" x14ac:dyDescent="0.3">
      <c r="A21" s="2"/>
      <c r="B21" s="2"/>
      <c r="C21" s="19"/>
      <c r="D21" s="19"/>
      <c r="E21" s="19"/>
      <c r="F21" s="19"/>
      <c r="G21" s="20"/>
    </row>
    <row r="22" spans="1:7" ht="15.75" customHeight="1" x14ac:dyDescent="0.3">
      <c r="A22" s="106" t="s">
        <v>39</v>
      </c>
      <c r="B22" s="98"/>
      <c r="C22" s="98"/>
      <c r="D22" s="98"/>
      <c r="E22" s="98"/>
      <c r="F22" s="98"/>
      <c r="G22" s="99"/>
    </row>
    <row r="23" spans="1:7" ht="15.75" customHeight="1" x14ac:dyDescent="0.3">
      <c r="A23" s="21" t="s">
        <v>40</v>
      </c>
      <c r="B23" s="127" t="s">
        <v>41</v>
      </c>
      <c r="C23" s="98"/>
      <c r="D23" s="98"/>
      <c r="E23" s="99"/>
      <c r="F23" s="21" t="s">
        <v>42</v>
      </c>
      <c r="G23" s="7" t="s">
        <v>43</v>
      </c>
    </row>
    <row r="24" spans="1:7" ht="15.75" customHeight="1" x14ac:dyDescent="0.3">
      <c r="A24" s="22" t="s">
        <v>16</v>
      </c>
      <c r="B24" s="97" t="s">
        <v>44</v>
      </c>
      <c r="C24" s="98"/>
      <c r="D24" s="98"/>
      <c r="E24" s="99"/>
      <c r="F24" s="24">
        <v>8.3299999999999999E-2</v>
      </c>
      <c r="G24" s="11">
        <f>G20*F24</f>
        <v>150.11992800000002</v>
      </c>
    </row>
    <row r="25" spans="1:7" ht="15.75" customHeight="1" x14ac:dyDescent="0.3">
      <c r="A25" s="22" t="s">
        <v>19</v>
      </c>
      <c r="B25" s="97" t="s">
        <v>45</v>
      </c>
      <c r="C25" s="98"/>
      <c r="D25" s="98"/>
      <c r="E25" s="99"/>
      <c r="F25" s="25">
        <v>0.1111</v>
      </c>
      <c r="G25" s="11">
        <f>G20*F25</f>
        <v>200.21997600000003</v>
      </c>
    </row>
    <row r="26" spans="1:7" ht="15.75" customHeight="1" x14ac:dyDescent="0.3">
      <c r="A26" s="127" t="s">
        <v>46</v>
      </c>
      <c r="B26" s="98"/>
      <c r="C26" s="98"/>
      <c r="D26" s="98"/>
      <c r="E26" s="99"/>
      <c r="F26" s="26">
        <f>F24+F25</f>
        <v>0.19440000000000002</v>
      </c>
      <c r="G26" s="18">
        <f>SUM(G24:G25)</f>
        <v>350.33990400000005</v>
      </c>
    </row>
    <row r="27" spans="1:7" ht="15.75" customHeight="1" x14ac:dyDescent="0.3">
      <c r="A27" s="27"/>
      <c r="B27" s="28"/>
      <c r="C27" s="28"/>
      <c r="D27" s="28"/>
      <c r="E27" s="28"/>
      <c r="F27" s="29"/>
      <c r="G27" s="30"/>
    </row>
    <row r="28" spans="1:7" ht="15.75" customHeight="1" x14ac:dyDescent="0.3">
      <c r="A28" s="21" t="s">
        <v>47</v>
      </c>
      <c r="B28" s="127" t="s">
        <v>48</v>
      </c>
      <c r="C28" s="98"/>
      <c r="D28" s="98"/>
      <c r="E28" s="99"/>
      <c r="F28" s="21" t="s">
        <v>42</v>
      </c>
      <c r="G28" s="7" t="s">
        <v>43</v>
      </c>
    </row>
    <row r="29" spans="1:7" ht="15.75" customHeight="1" x14ac:dyDescent="0.3">
      <c r="A29" s="8" t="s">
        <v>16</v>
      </c>
      <c r="B29" s="97" t="s">
        <v>49</v>
      </c>
      <c r="C29" s="98"/>
      <c r="D29" s="98"/>
      <c r="E29" s="99"/>
      <c r="F29" s="24">
        <v>0.2</v>
      </c>
      <c r="G29" s="31">
        <f>G20*F29</f>
        <v>360.43200000000002</v>
      </c>
    </row>
    <row r="30" spans="1:7" ht="15.75" customHeight="1" x14ac:dyDescent="0.3">
      <c r="A30" s="8" t="s">
        <v>19</v>
      </c>
      <c r="B30" s="97" t="s">
        <v>50</v>
      </c>
      <c r="C30" s="98"/>
      <c r="D30" s="98"/>
      <c r="E30" s="99"/>
      <c r="F30" s="24">
        <v>1.4999999999999999E-2</v>
      </c>
      <c r="G30" s="31">
        <f>G20*F30</f>
        <v>27.032399999999999</v>
      </c>
    </row>
    <row r="31" spans="1:7" ht="15.75" customHeight="1" x14ac:dyDescent="0.3">
      <c r="A31" s="8" t="s">
        <v>22</v>
      </c>
      <c r="B31" s="97" t="s">
        <v>51</v>
      </c>
      <c r="C31" s="98"/>
      <c r="D31" s="98"/>
      <c r="E31" s="99"/>
      <c r="F31" s="24">
        <v>0.01</v>
      </c>
      <c r="G31" s="31">
        <f>G20*F31</f>
        <v>18.021600000000003</v>
      </c>
    </row>
    <row r="32" spans="1:7" ht="15.75" customHeight="1" x14ac:dyDescent="0.3">
      <c r="A32" s="8" t="s">
        <v>24</v>
      </c>
      <c r="B32" s="97" t="s">
        <v>52</v>
      </c>
      <c r="C32" s="98"/>
      <c r="D32" s="98"/>
      <c r="E32" s="99"/>
      <c r="F32" s="24">
        <v>2E-3</v>
      </c>
      <c r="G32" s="31">
        <f>G20*F32</f>
        <v>3.6043200000000004</v>
      </c>
    </row>
    <row r="33" spans="1:7" ht="15.75" customHeight="1" x14ac:dyDescent="0.3">
      <c r="A33" s="8" t="s">
        <v>26</v>
      </c>
      <c r="B33" s="128" t="s">
        <v>53</v>
      </c>
      <c r="C33" s="98"/>
      <c r="D33" s="98"/>
      <c r="E33" s="99"/>
      <c r="F33" s="24">
        <v>2.5000000000000001E-2</v>
      </c>
      <c r="G33" s="31">
        <f>G20*F33</f>
        <v>45.054000000000002</v>
      </c>
    </row>
    <row r="34" spans="1:7" ht="15.75" customHeight="1" x14ac:dyDescent="0.3">
      <c r="A34" s="8" t="s">
        <v>30</v>
      </c>
      <c r="B34" s="97" t="s">
        <v>54</v>
      </c>
      <c r="C34" s="98"/>
      <c r="D34" s="98"/>
      <c r="E34" s="99"/>
      <c r="F34" s="24">
        <v>0.08</v>
      </c>
      <c r="G34" s="31">
        <f>G20*F34</f>
        <v>144.17280000000002</v>
      </c>
    </row>
    <row r="35" spans="1:7" ht="15.75" customHeight="1" x14ac:dyDescent="0.3">
      <c r="A35" s="8" t="s">
        <v>32</v>
      </c>
      <c r="B35" s="32" t="s">
        <v>55</v>
      </c>
      <c r="C35" s="33">
        <v>3</v>
      </c>
      <c r="D35" s="34" t="s">
        <v>56</v>
      </c>
      <c r="E35" s="35">
        <v>0.01</v>
      </c>
      <c r="F35" s="24">
        <f>E35*C35</f>
        <v>0.03</v>
      </c>
      <c r="G35" s="31">
        <f>G20*F35</f>
        <v>54.064799999999998</v>
      </c>
    </row>
    <row r="36" spans="1:7" ht="15.75" customHeight="1" x14ac:dyDescent="0.3">
      <c r="A36" s="8" t="s">
        <v>34</v>
      </c>
      <c r="B36" s="97" t="s">
        <v>57</v>
      </c>
      <c r="C36" s="98"/>
      <c r="D36" s="98"/>
      <c r="E36" s="99"/>
      <c r="F36" s="24">
        <v>6.0000000000000001E-3</v>
      </c>
      <c r="G36" s="31">
        <f>G20*F36</f>
        <v>10.81296</v>
      </c>
    </row>
    <row r="37" spans="1:7" ht="15.75" customHeight="1" x14ac:dyDescent="0.3">
      <c r="A37" s="100" t="s">
        <v>46</v>
      </c>
      <c r="B37" s="98"/>
      <c r="C37" s="98"/>
      <c r="D37" s="98"/>
      <c r="E37" s="99"/>
      <c r="F37" s="26">
        <f t="shared" ref="F37:G37" si="0">SUM(F29:F36)</f>
        <v>0.3680000000000001</v>
      </c>
      <c r="G37" s="18">
        <f t="shared" si="0"/>
        <v>663.19488000000001</v>
      </c>
    </row>
    <row r="38" spans="1:7" ht="15.75" customHeight="1" x14ac:dyDescent="0.3">
      <c r="A38" s="27"/>
      <c r="B38" s="36"/>
      <c r="C38" s="27"/>
      <c r="D38" s="27"/>
      <c r="E38" s="27"/>
      <c r="F38" s="27"/>
      <c r="G38" s="37"/>
    </row>
    <row r="39" spans="1:7" ht="15.75" customHeight="1" x14ac:dyDescent="0.3">
      <c r="A39" s="6" t="s">
        <v>58</v>
      </c>
      <c r="B39" s="124" t="s">
        <v>59</v>
      </c>
      <c r="C39" s="98"/>
      <c r="D39" s="98"/>
      <c r="E39" s="98"/>
      <c r="F39" s="99"/>
      <c r="G39" s="38" t="s">
        <v>43</v>
      </c>
    </row>
    <row r="40" spans="1:7" ht="15.75" customHeight="1" x14ac:dyDescent="0.3">
      <c r="A40" s="8" t="s">
        <v>16</v>
      </c>
      <c r="B40" s="97" t="s">
        <v>60</v>
      </c>
      <c r="C40" s="98"/>
      <c r="D40" s="98"/>
      <c r="E40" s="98"/>
      <c r="F40" s="99"/>
      <c r="G40" s="31">
        <f>7.6*F12</f>
        <v>167.2</v>
      </c>
    </row>
    <row r="41" spans="1:7" ht="15.75" customHeight="1" x14ac:dyDescent="0.3">
      <c r="A41" s="8" t="s">
        <v>19</v>
      </c>
      <c r="B41" s="97" t="s">
        <v>61</v>
      </c>
      <c r="C41" s="98"/>
      <c r="D41" s="98"/>
      <c r="E41" s="98"/>
      <c r="F41" s="99"/>
      <c r="G41" s="31">
        <f>44.3*F12</f>
        <v>974.59999999999991</v>
      </c>
    </row>
    <row r="42" spans="1:7" ht="15.75" customHeight="1" x14ac:dyDescent="0.3">
      <c r="A42" s="8" t="s">
        <v>22</v>
      </c>
      <c r="B42" s="97" t="s">
        <v>62</v>
      </c>
      <c r="C42" s="98"/>
      <c r="D42" s="98"/>
      <c r="E42" s="98"/>
      <c r="F42" s="99"/>
      <c r="G42" s="31">
        <v>18</v>
      </c>
    </row>
    <row r="43" spans="1:7" ht="15.75" customHeight="1" x14ac:dyDescent="0.3">
      <c r="A43" s="8" t="s">
        <v>24</v>
      </c>
      <c r="B43" s="97" t="s">
        <v>63</v>
      </c>
      <c r="C43" s="98"/>
      <c r="D43" s="98"/>
      <c r="E43" s="98"/>
      <c r="F43" s="99"/>
      <c r="G43" s="31">
        <f>((3%*G20)/12)*3</f>
        <v>13.5162</v>
      </c>
    </row>
    <row r="44" spans="1:7" ht="15.75" customHeight="1" x14ac:dyDescent="0.3">
      <c r="A44" s="8" t="s">
        <v>26</v>
      </c>
      <c r="B44" s="97" t="s">
        <v>64</v>
      </c>
      <c r="C44" s="98"/>
      <c r="D44" s="98"/>
      <c r="E44" s="98"/>
      <c r="F44" s="99"/>
      <c r="G44" s="31">
        <f>16*4</f>
        <v>64</v>
      </c>
    </row>
    <row r="45" spans="1:7" ht="15.75" customHeight="1" x14ac:dyDescent="0.3">
      <c r="A45" s="8" t="s">
        <v>30</v>
      </c>
      <c r="B45" s="97" t="s">
        <v>65</v>
      </c>
      <c r="C45" s="98"/>
      <c r="D45" s="98"/>
      <c r="E45" s="98"/>
      <c r="F45" s="99"/>
      <c r="G45" s="31">
        <f>4/10</f>
        <v>0.4</v>
      </c>
    </row>
    <row r="46" spans="1:7" ht="15.75" customHeight="1" x14ac:dyDescent="0.3">
      <c r="A46" s="8" t="s">
        <v>32</v>
      </c>
      <c r="B46" s="97" t="s">
        <v>66</v>
      </c>
      <c r="C46" s="98"/>
      <c r="D46" s="98"/>
      <c r="E46" s="98"/>
      <c r="F46" s="99"/>
      <c r="G46" s="31">
        <v>5</v>
      </c>
    </row>
    <row r="47" spans="1:7" ht="15.75" customHeight="1" x14ac:dyDescent="0.3">
      <c r="A47" s="105" t="s">
        <v>67</v>
      </c>
      <c r="B47" s="98"/>
      <c r="C47" s="98"/>
      <c r="D47" s="98"/>
      <c r="E47" s="98"/>
      <c r="F47" s="99"/>
      <c r="G47" s="39">
        <f>SUM(G40:G46)</f>
        <v>1242.7162000000001</v>
      </c>
    </row>
    <row r="48" spans="1:7" ht="15.75" customHeight="1" x14ac:dyDescent="0.3">
      <c r="A48" s="2"/>
      <c r="B48" s="40"/>
      <c r="C48" s="41"/>
      <c r="D48" s="42"/>
      <c r="E48" s="42"/>
      <c r="F48" s="42"/>
      <c r="G48" s="5"/>
    </row>
    <row r="49" spans="1:7" ht="15.75" customHeight="1" x14ac:dyDescent="0.3">
      <c r="A49" s="124" t="s">
        <v>68</v>
      </c>
      <c r="B49" s="98"/>
      <c r="C49" s="98"/>
      <c r="D49" s="98"/>
      <c r="E49" s="98"/>
      <c r="F49" s="99"/>
      <c r="G49" s="38" t="s">
        <v>43</v>
      </c>
    </row>
    <row r="50" spans="1:7" ht="15.75" customHeight="1" x14ac:dyDescent="0.3">
      <c r="A50" s="43" t="s">
        <v>40</v>
      </c>
      <c r="B50" s="125" t="s">
        <v>41</v>
      </c>
      <c r="C50" s="98"/>
      <c r="D50" s="98"/>
      <c r="E50" s="98"/>
      <c r="F50" s="99"/>
      <c r="G50" s="44">
        <f>G26</f>
        <v>350.33990400000005</v>
      </c>
    </row>
    <row r="51" spans="1:7" ht="15.75" customHeight="1" x14ac:dyDescent="0.3">
      <c r="A51" s="43" t="s">
        <v>47</v>
      </c>
      <c r="B51" s="125" t="s">
        <v>69</v>
      </c>
      <c r="C51" s="98"/>
      <c r="D51" s="98"/>
      <c r="E51" s="98"/>
      <c r="F51" s="99"/>
      <c r="G51" s="44">
        <f>G37</f>
        <v>663.19488000000001</v>
      </c>
    </row>
    <row r="52" spans="1:7" ht="15.75" customHeight="1" x14ac:dyDescent="0.3">
      <c r="A52" s="43" t="s">
        <v>58</v>
      </c>
      <c r="B52" s="125" t="s">
        <v>59</v>
      </c>
      <c r="C52" s="98"/>
      <c r="D52" s="98"/>
      <c r="E52" s="98"/>
      <c r="F52" s="99"/>
      <c r="G52" s="44">
        <f>G47</f>
        <v>1242.7162000000001</v>
      </c>
    </row>
    <row r="53" spans="1:7" ht="15.75" customHeight="1" x14ac:dyDescent="0.3">
      <c r="A53" s="105" t="s">
        <v>70</v>
      </c>
      <c r="B53" s="98"/>
      <c r="C53" s="98"/>
      <c r="D53" s="98"/>
      <c r="E53" s="98"/>
      <c r="F53" s="99"/>
      <c r="G53" s="39">
        <f>SUM(G50:G52)</f>
        <v>2256.2509840000002</v>
      </c>
    </row>
    <row r="54" spans="1:7" ht="15.75" customHeight="1" x14ac:dyDescent="0.3">
      <c r="A54" s="2"/>
      <c r="B54" s="40"/>
      <c r="C54" s="41"/>
      <c r="D54" s="42"/>
      <c r="E54" s="42"/>
      <c r="F54" s="42"/>
      <c r="G54" s="5"/>
    </row>
    <row r="55" spans="1:7" ht="15.75" customHeight="1" x14ac:dyDescent="0.3">
      <c r="A55" s="106" t="s">
        <v>71</v>
      </c>
      <c r="B55" s="98"/>
      <c r="C55" s="98"/>
      <c r="D55" s="98"/>
      <c r="E55" s="98"/>
      <c r="F55" s="98"/>
      <c r="G55" s="99"/>
    </row>
    <row r="56" spans="1:7" ht="15.75" customHeight="1" x14ac:dyDescent="0.3">
      <c r="A56" s="124" t="s">
        <v>72</v>
      </c>
      <c r="B56" s="98"/>
      <c r="C56" s="98"/>
      <c r="D56" s="98"/>
      <c r="E56" s="98"/>
      <c r="F56" s="99"/>
      <c r="G56" s="38" t="s">
        <v>15</v>
      </c>
    </row>
    <row r="57" spans="1:7" ht="15.75" customHeight="1" x14ac:dyDescent="0.3">
      <c r="A57" s="102" t="s">
        <v>16</v>
      </c>
      <c r="B57" s="97" t="s">
        <v>73</v>
      </c>
      <c r="C57" s="98"/>
      <c r="D57" s="98"/>
      <c r="E57" s="99"/>
      <c r="F57" s="116">
        <f>(1/12*E58)</f>
        <v>4.1666666666666666E-3</v>
      </c>
      <c r="G57" s="117">
        <f>G20*F57</f>
        <v>7.5090000000000003</v>
      </c>
    </row>
    <row r="58" spans="1:7" ht="15.75" customHeight="1" x14ac:dyDescent="0.3">
      <c r="A58" s="103"/>
      <c r="B58" s="97" t="s">
        <v>74</v>
      </c>
      <c r="C58" s="98"/>
      <c r="D58" s="99"/>
      <c r="E58" s="46">
        <v>0.05</v>
      </c>
      <c r="F58" s="103"/>
      <c r="G58" s="103"/>
    </row>
    <row r="59" spans="1:7" ht="15.75" customHeight="1" x14ac:dyDescent="0.3">
      <c r="A59" s="22" t="s">
        <v>19</v>
      </c>
      <c r="B59" s="97" t="s">
        <v>75</v>
      </c>
      <c r="C59" s="98"/>
      <c r="D59" s="98"/>
      <c r="E59" s="99"/>
      <c r="F59" s="24">
        <f>F34*F57</f>
        <v>3.3333333333333332E-4</v>
      </c>
      <c r="G59" s="31">
        <f>G20*F59</f>
        <v>0.60072000000000003</v>
      </c>
    </row>
    <row r="60" spans="1:7" ht="15.75" customHeight="1" x14ac:dyDescent="0.3">
      <c r="A60" s="22" t="s">
        <v>22</v>
      </c>
      <c r="B60" s="97" t="s">
        <v>76</v>
      </c>
      <c r="C60" s="98"/>
      <c r="D60" s="98"/>
      <c r="E60" s="99"/>
      <c r="F60" s="45">
        <f>0.4*0.08*0.05</f>
        <v>1.6000000000000001E-3</v>
      </c>
      <c r="G60" s="31">
        <f>G20*F60</f>
        <v>2.8834560000000002</v>
      </c>
    </row>
    <row r="61" spans="1:7" ht="15.75" customHeight="1" x14ac:dyDescent="0.3">
      <c r="A61" s="22" t="s">
        <v>24</v>
      </c>
      <c r="B61" s="97" t="s">
        <v>77</v>
      </c>
      <c r="C61" s="98"/>
      <c r="D61" s="98"/>
      <c r="E61" s="99"/>
      <c r="F61" s="45">
        <f>((1/30)/12*7)</f>
        <v>1.9444444444444445E-2</v>
      </c>
      <c r="G61" s="31">
        <f>G20*F61</f>
        <v>35.042000000000002</v>
      </c>
    </row>
    <row r="62" spans="1:7" ht="15.75" customHeight="1" x14ac:dyDescent="0.3">
      <c r="A62" s="22" t="s">
        <v>26</v>
      </c>
      <c r="B62" s="97" t="s">
        <v>78</v>
      </c>
      <c r="C62" s="98"/>
      <c r="D62" s="98"/>
      <c r="E62" s="99"/>
      <c r="F62" s="47">
        <v>6.0200000000000002E-3</v>
      </c>
      <c r="G62" s="31">
        <f>ROUND(F62*$G$30,2)</f>
        <v>0.16</v>
      </c>
    </row>
    <row r="63" spans="1:7" ht="15.75" customHeight="1" x14ac:dyDescent="0.3">
      <c r="A63" s="22" t="s">
        <v>30</v>
      </c>
      <c r="B63" s="97" t="s">
        <v>79</v>
      </c>
      <c r="C63" s="98"/>
      <c r="D63" s="98"/>
      <c r="E63" s="99"/>
      <c r="F63" s="24">
        <f>0.4*0.08*0.95</f>
        <v>3.04E-2</v>
      </c>
      <c r="G63" s="31">
        <f>G20*F63</f>
        <v>54.785664000000004</v>
      </c>
    </row>
    <row r="64" spans="1:7" ht="15.75" customHeight="1" x14ac:dyDescent="0.3">
      <c r="A64" s="100" t="s">
        <v>46</v>
      </c>
      <c r="B64" s="98"/>
      <c r="C64" s="98"/>
      <c r="D64" s="98"/>
      <c r="E64" s="99"/>
      <c r="F64" s="26">
        <f t="shared" ref="F64:G64" si="1">SUM(F57:F63)</f>
        <v>6.1964444444444447E-2</v>
      </c>
      <c r="G64" s="18">
        <f t="shared" si="1"/>
        <v>100.98084</v>
      </c>
    </row>
    <row r="65" spans="1:7" ht="15.75" customHeight="1" x14ac:dyDescent="0.3">
      <c r="A65" s="2"/>
      <c r="B65" s="2"/>
      <c r="C65" s="19"/>
      <c r="D65" s="19"/>
      <c r="E65" s="19"/>
      <c r="F65" s="19"/>
      <c r="G65" s="20"/>
    </row>
    <row r="66" spans="1:7" ht="15.75" customHeight="1" x14ac:dyDescent="0.3">
      <c r="A66" s="106" t="s">
        <v>80</v>
      </c>
      <c r="B66" s="98"/>
      <c r="C66" s="98"/>
      <c r="D66" s="98"/>
      <c r="E66" s="98"/>
      <c r="F66" s="98"/>
      <c r="G66" s="99"/>
    </row>
    <row r="67" spans="1:7" ht="15.75" customHeight="1" x14ac:dyDescent="0.3">
      <c r="A67" s="21" t="s">
        <v>81</v>
      </c>
      <c r="B67" s="100" t="s">
        <v>82</v>
      </c>
      <c r="C67" s="98"/>
      <c r="D67" s="98"/>
      <c r="E67" s="98"/>
      <c r="F67" s="99"/>
      <c r="G67" s="18" t="s">
        <v>43</v>
      </c>
    </row>
    <row r="68" spans="1:7" ht="15.75" customHeight="1" x14ac:dyDescent="0.3">
      <c r="A68" s="126" t="s">
        <v>83</v>
      </c>
      <c r="B68" s="98"/>
      <c r="C68" s="98"/>
      <c r="D68" s="98"/>
      <c r="E68" s="98"/>
      <c r="F68" s="99"/>
      <c r="G68" s="48">
        <f>G20+G24+G25</f>
        <v>2152.4999040000002</v>
      </c>
    </row>
    <row r="69" spans="1:7" ht="15.75" customHeight="1" x14ac:dyDescent="0.3">
      <c r="A69" s="22" t="s">
        <v>16</v>
      </c>
      <c r="B69" s="115" t="s">
        <v>84</v>
      </c>
      <c r="C69" s="98"/>
      <c r="D69" s="98"/>
      <c r="E69" s="99"/>
      <c r="F69" s="24">
        <v>8.3299999999999999E-2</v>
      </c>
      <c r="G69" s="48">
        <f>ROUND(F69*G20,2)</f>
        <v>150.12</v>
      </c>
    </row>
    <row r="70" spans="1:7" ht="15.75" customHeight="1" x14ac:dyDescent="0.3">
      <c r="A70" s="102" t="s">
        <v>19</v>
      </c>
      <c r="B70" s="115" t="s">
        <v>85</v>
      </c>
      <c r="C70" s="98"/>
      <c r="D70" s="98"/>
      <c r="E70" s="99"/>
      <c r="F70" s="116">
        <f>E71/30/12</f>
        <v>2.7777777777777779E-3</v>
      </c>
      <c r="G70" s="119">
        <f>G68*F70</f>
        <v>5.9791664000000013</v>
      </c>
    </row>
    <row r="71" spans="1:7" ht="15.75" customHeight="1" x14ac:dyDescent="0.3">
      <c r="A71" s="103"/>
      <c r="B71" s="97" t="s">
        <v>86</v>
      </c>
      <c r="C71" s="98"/>
      <c r="D71" s="99"/>
      <c r="E71" s="49">
        <v>1</v>
      </c>
      <c r="F71" s="103"/>
      <c r="G71" s="103"/>
    </row>
    <row r="72" spans="1:7" ht="15.75" customHeight="1" x14ac:dyDescent="0.3">
      <c r="A72" s="102" t="s">
        <v>22</v>
      </c>
      <c r="B72" s="101" t="s">
        <v>87</v>
      </c>
      <c r="C72" s="99"/>
      <c r="D72" s="34" t="s">
        <v>88</v>
      </c>
      <c r="E72" s="49">
        <v>5</v>
      </c>
      <c r="F72" s="116">
        <f>((E72/30)/12)*E73</f>
        <v>2.0833333333333332E-4</v>
      </c>
      <c r="G72" s="119">
        <f>G68*F72</f>
        <v>0.44843748</v>
      </c>
    </row>
    <row r="73" spans="1:7" ht="15.75" customHeight="1" x14ac:dyDescent="0.3">
      <c r="A73" s="103"/>
      <c r="B73" s="97" t="s">
        <v>89</v>
      </c>
      <c r="C73" s="98"/>
      <c r="D73" s="99"/>
      <c r="E73" s="50">
        <v>1.4999999999999999E-2</v>
      </c>
      <c r="F73" s="103"/>
      <c r="G73" s="103"/>
    </row>
    <row r="74" spans="1:7" ht="15.75" customHeight="1" x14ac:dyDescent="0.3">
      <c r="A74" s="102" t="s">
        <v>24</v>
      </c>
      <c r="B74" s="101" t="s">
        <v>90</v>
      </c>
      <c r="C74" s="99"/>
      <c r="D74" s="34" t="s">
        <v>91</v>
      </c>
      <c r="E74" s="49">
        <v>15</v>
      </c>
      <c r="F74" s="116">
        <f>((E74/30)/12)*E75</f>
        <v>3.2499999999999999E-4</v>
      </c>
      <c r="G74" s="119">
        <f>G68*F74</f>
        <v>0.69956246880000006</v>
      </c>
    </row>
    <row r="75" spans="1:7" ht="15.75" customHeight="1" x14ac:dyDescent="0.3">
      <c r="A75" s="103"/>
      <c r="B75" s="97" t="s">
        <v>89</v>
      </c>
      <c r="C75" s="98"/>
      <c r="D75" s="99"/>
      <c r="E75" s="35">
        <v>7.7999999999999996E-3</v>
      </c>
      <c r="F75" s="103"/>
      <c r="G75" s="103"/>
    </row>
    <row r="76" spans="1:7" ht="15.75" customHeight="1" x14ac:dyDescent="0.3">
      <c r="A76" s="102" t="s">
        <v>26</v>
      </c>
      <c r="B76" s="101" t="s">
        <v>92</v>
      </c>
      <c r="C76" s="99"/>
      <c r="D76" s="34" t="s">
        <v>93</v>
      </c>
      <c r="E76" s="35">
        <v>1.44E-2</v>
      </c>
      <c r="F76" s="120">
        <f>0.0144*0.1*0.4509*6/12</f>
        <v>3.2464800000000003E-4</v>
      </c>
      <c r="G76" s="117">
        <f>G68*F76</f>
        <v>0.69880478883379216</v>
      </c>
    </row>
    <row r="77" spans="1:7" ht="15.75" customHeight="1" x14ac:dyDescent="0.3">
      <c r="A77" s="103"/>
      <c r="B77" s="97" t="s">
        <v>89</v>
      </c>
      <c r="C77" s="98"/>
      <c r="D77" s="99"/>
      <c r="E77" s="35">
        <v>0.1</v>
      </c>
      <c r="F77" s="103"/>
      <c r="G77" s="103"/>
    </row>
    <row r="78" spans="1:7" ht="15.75" customHeight="1" x14ac:dyDescent="0.3">
      <c r="A78" s="121" t="s">
        <v>94</v>
      </c>
      <c r="B78" s="98"/>
      <c r="C78" s="98"/>
      <c r="D78" s="98"/>
      <c r="E78" s="98"/>
      <c r="F78" s="99"/>
      <c r="G78" s="18">
        <f>SUM(G69:G77)</f>
        <v>157.94597113763379</v>
      </c>
    </row>
    <row r="79" spans="1:7" ht="15.75" customHeight="1" x14ac:dyDescent="0.3">
      <c r="A79" s="51" t="s">
        <v>95</v>
      </c>
      <c r="B79" s="118" t="s">
        <v>96</v>
      </c>
      <c r="C79" s="98"/>
      <c r="D79" s="98"/>
      <c r="E79" s="98"/>
      <c r="F79" s="99"/>
      <c r="G79" s="52" t="s">
        <v>43</v>
      </c>
    </row>
    <row r="80" spans="1:7" ht="15.75" customHeight="1" x14ac:dyDescent="0.3">
      <c r="A80" s="23" t="s">
        <v>16</v>
      </c>
      <c r="B80" s="122" t="s">
        <v>97</v>
      </c>
      <c r="C80" s="98"/>
      <c r="D80" s="98"/>
      <c r="E80" s="98"/>
      <c r="F80" s="99"/>
      <c r="G80" s="53">
        <v>0</v>
      </c>
    </row>
    <row r="81" spans="1:7" ht="15.75" customHeight="1" x14ac:dyDescent="0.3">
      <c r="A81" s="54"/>
      <c r="B81" s="55"/>
      <c r="C81" s="55"/>
      <c r="D81" s="55"/>
      <c r="E81" s="55"/>
      <c r="F81" s="55"/>
      <c r="G81" s="30"/>
    </row>
    <row r="82" spans="1:7" ht="15.75" customHeight="1" x14ac:dyDescent="0.3">
      <c r="A82" s="123" t="s">
        <v>98</v>
      </c>
      <c r="B82" s="98"/>
      <c r="C82" s="98"/>
      <c r="D82" s="98"/>
      <c r="E82" s="98"/>
      <c r="F82" s="99"/>
      <c r="G82" s="56" t="s">
        <v>43</v>
      </c>
    </row>
    <row r="83" spans="1:7" ht="15.75" customHeight="1" x14ac:dyDescent="0.3">
      <c r="A83" s="22" t="s">
        <v>81</v>
      </c>
      <c r="B83" s="115" t="s">
        <v>99</v>
      </c>
      <c r="C83" s="98"/>
      <c r="D83" s="98"/>
      <c r="E83" s="98"/>
      <c r="F83" s="99"/>
      <c r="G83" s="31">
        <f>G78</f>
        <v>157.94597113763379</v>
      </c>
    </row>
    <row r="84" spans="1:7" ht="15.75" customHeight="1" x14ac:dyDescent="0.3">
      <c r="A84" s="22" t="s">
        <v>95</v>
      </c>
      <c r="B84" s="115" t="s">
        <v>100</v>
      </c>
      <c r="C84" s="98"/>
      <c r="D84" s="98"/>
      <c r="E84" s="98"/>
      <c r="F84" s="99"/>
      <c r="G84" s="31">
        <f>G80</f>
        <v>0</v>
      </c>
    </row>
    <row r="85" spans="1:7" ht="15.75" customHeight="1" x14ac:dyDescent="0.3">
      <c r="A85" s="100" t="s">
        <v>46</v>
      </c>
      <c r="B85" s="98"/>
      <c r="C85" s="98"/>
      <c r="D85" s="98"/>
      <c r="E85" s="98"/>
      <c r="F85" s="99"/>
      <c r="G85" s="18">
        <f>SUM(G83:G84)</f>
        <v>157.94597113763379</v>
      </c>
    </row>
    <row r="86" spans="1:7" ht="15.75" customHeight="1" x14ac:dyDescent="0.3">
      <c r="A86" s="27"/>
      <c r="B86" s="28"/>
      <c r="C86" s="28"/>
      <c r="D86" s="28"/>
      <c r="E86" s="28"/>
      <c r="F86" s="57"/>
      <c r="G86" s="58"/>
    </row>
    <row r="87" spans="1:7" ht="15.75" customHeight="1" x14ac:dyDescent="0.3">
      <c r="A87" s="106" t="s">
        <v>101</v>
      </c>
      <c r="B87" s="98"/>
      <c r="C87" s="98"/>
      <c r="D87" s="98"/>
      <c r="E87" s="98"/>
      <c r="F87" s="98"/>
      <c r="G87" s="99"/>
    </row>
    <row r="88" spans="1:7" ht="15.75" customHeight="1" x14ac:dyDescent="0.3">
      <c r="A88" s="59">
        <v>5</v>
      </c>
      <c r="B88" s="100" t="s">
        <v>102</v>
      </c>
      <c r="C88" s="98"/>
      <c r="D88" s="98"/>
      <c r="E88" s="98"/>
      <c r="F88" s="99"/>
      <c r="G88" s="18" t="s">
        <v>15</v>
      </c>
    </row>
    <row r="89" spans="1:7" ht="15.75" customHeight="1" x14ac:dyDescent="0.3">
      <c r="A89" s="22" t="s">
        <v>16</v>
      </c>
      <c r="B89" s="97" t="s">
        <v>103</v>
      </c>
      <c r="C89" s="98"/>
      <c r="D89" s="98"/>
      <c r="E89" s="98"/>
      <c r="F89" s="99"/>
      <c r="G89" s="31">
        <v>57</v>
      </c>
    </row>
    <row r="90" spans="1:7" ht="15.75" customHeight="1" x14ac:dyDescent="0.3">
      <c r="A90" s="22" t="s">
        <v>19</v>
      </c>
      <c r="B90" s="97" t="s">
        <v>104</v>
      </c>
      <c r="C90" s="98"/>
      <c r="D90" s="98"/>
      <c r="E90" s="98"/>
      <c r="F90" s="99"/>
      <c r="G90" s="31">
        <v>0</v>
      </c>
    </row>
    <row r="91" spans="1:7" ht="15.75" customHeight="1" x14ac:dyDescent="0.3">
      <c r="A91" s="22" t="s">
        <v>22</v>
      </c>
      <c r="B91" s="97" t="s">
        <v>105</v>
      </c>
      <c r="C91" s="98"/>
      <c r="D91" s="98"/>
      <c r="E91" s="98"/>
      <c r="F91" s="99"/>
      <c r="G91" s="31">
        <v>0</v>
      </c>
    </row>
    <row r="92" spans="1:7" ht="15.75" customHeight="1" x14ac:dyDescent="0.3">
      <c r="A92" s="22" t="s">
        <v>24</v>
      </c>
      <c r="B92" s="97" t="s">
        <v>106</v>
      </c>
      <c r="C92" s="98"/>
      <c r="D92" s="98"/>
      <c r="E92" s="98"/>
      <c r="F92" s="99"/>
      <c r="G92" s="31">
        <v>0</v>
      </c>
    </row>
    <row r="93" spans="1:7" ht="15.75" customHeight="1" x14ac:dyDescent="0.3">
      <c r="A93" s="49"/>
      <c r="B93" s="100" t="s">
        <v>107</v>
      </c>
      <c r="C93" s="98"/>
      <c r="D93" s="98"/>
      <c r="E93" s="98"/>
      <c r="F93" s="99"/>
      <c r="G93" s="18">
        <f>SUM(G89:G91)</f>
        <v>57</v>
      </c>
    </row>
    <row r="94" spans="1:7" ht="15.75" customHeight="1" x14ac:dyDescent="0.3">
      <c r="A94" s="2"/>
      <c r="B94" s="2"/>
      <c r="C94" s="19"/>
      <c r="D94" s="19"/>
      <c r="E94" s="19"/>
      <c r="F94" s="19"/>
      <c r="G94" s="20"/>
    </row>
    <row r="95" spans="1:7" ht="15.75" customHeight="1" x14ac:dyDescent="0.3">
      <c r="A95" s="118" t="s">
        <v>108</v>
      </c>
      <c r="B95" s="98"/>
      <c r="C95" s="98"/>
      <c r="D95" s="98"/>
      <c r="E95" s="98"/>
      <c r="F95" s="99"/>
      <c r="G95" s="18" t="s">
        <v>15</v>
      </c>
    </row>
    <row r="96" spans="1:7" ht="15.75" customHeight="1" x14ac:dyDescent="0.3">
      <c r="A96" s="22" t="s">
        <v>16</v>
      </c>
      <c r="B96" s="97" t="s">
        <v>109</v>
      </c>
      <c r="C96" s="98"/>
      <c r="D96" s="98"/>
      <c r="E96" s="98"/>
      <c r="F96" s="99"/>
      <c r="G96" s="48">
        <f>G20</f>
        <v>1802.16</v>
      </c>
    </row>
    <row r="97" spans="1:7" ht="15.75" customHeight="1" x14ac:dyDescent="0.3">
      <c r="A97" s="22" t="s">
        <v>19</v>
      </c>
      <c r="B97" s="97" t="s">
        <v>39</v>
      </c>
      <c r="C97" s="98"/>
      <c r="D97" s="98"/>
      <c r="E97" s="98"/>
      <c r="F97" s="99"/>
      <c r="G97" s="48">
        <f>G53</f>
        <v>2256.2509840000002</v>
      </c>
    </row>
    <row r="98" spans="1:7" ht="15.75" customHeight="1" x14ac:dyDescent="0.3">
      <c r="A98" s="22" t="s">
        <v>22</v>
      </c>
      <c r="B98" s="97" t="s">
        <v>110</v>
      </c>
      <c r="C98" s="98"/>
      <c r="D98" s="98"/>
      <c r="E98" s="98"/>
      <c r="F98" s="99"/>
      <c r="G98" s="48">
        <f>G64</f>
        <v>100.98084</v>
      </c>
    </row>
    <row r="99" spans="1:7" ht="15.75" customHeight="1" x14ac:dyDescent="0.3">
      <c r="A99" s="22" t="s">
        <v>24</v>
      </c>
      <c r="B99" s="97" t="s">
        <v>80</v>
      </c>
      <c r="C99" s="98"/>
      <c r="D99" s="98"/>
      <c r="E99" s="98"/>
      <c r="F99" s="99"/>
      <c r="G99" s="48">
        <f>G85</f>
        <v>157.94597113763379</v>
      </c>
    </row>
    <row r="100" spans="1:7" ht="15.75" customHeight="1" x14ac:dyDescent="0.3">
      <c r="A100" s="22" t="s">
        <v>26</v>
      </c>
      <c r="B100" s="97" t="s">
        <v>101</v>
      </c>
      <c r="C100" s="98"/>
      <c r="D100" s="98"/>
      <c r="E100" s="98"/>
      <c r="F100" s="99"/>
      <c r="G100" s="48">
        <f>G93</f>
        <v>57</v>
      </c>
    </row>
    <row r="101" spans="1:7" ht="15.75" customHeight="1" x14ac:dyDescent="0.3">
      <c r="A101" s="107" t="s">
        <v>111</v>
      </c>
      <c r="B101" s="98"/>
      <c r="C101" s="98"/>
      <c r="D101" s="98"/>
      <c r="E101" s="98"/>
      <c r="F101" s="99"/>
      <c r="G101" s="18">
        <f>SUM(G96:G100)</f>
        <v>4374.3377951376342</v>
      </c>
    </row>
    <row r="102" spans="1:7" ht="15.75" customHeight="1" x14ac:dyDescent="0.3">
      <c r="A102" s="2"/>
      <c r="B102" s="60"/>
      <c r="C102" s="61"/>
      <c r="D102" s="62"/>
      <c r="E102" s="62"/>
      <c r="F102" s="62"/>
      <c r="G102" s="63"/>
    </row>
    <row r="103" spans="1:7" ht="15.75" customHeight="1" x14ac:dyDescent="0.3">
      <c r="A103" s="106" t="s">
        <v>112</v>
      </c>
      <c r="B103" s="98"/>
      <c r="C103" s="98"/>
      <c r="D103" s="98"/>
      <c r="E103" s="98"/>
      <c r="F103" s="98"/>
      <c r="G103" s="99"/>
    </row>
    <row r="104" spans="1:7" ht="15.75" customHeight="1" x14ac:dyDescent="0.3">
      <c r="A104" s="64">
        <v>5</v>
      </c>
      <c r="B104" s="105" t="s">
        <v>113</v>
      </c>
      <c r="C104" s="98"/>
      <c r="D104" s="98"/>
      <c r="E104" s="99"/>
      <c r="F104" s="64" t="s">
        <v>42</v>
      </c>
      <c r="G104" s="39" t="s">
        <v>15</v>
      </c>
    </row>
    <row r="105" spans="1:7" ht="15.75" customHeight="1" x14ac:dyDescent="0.3">
      <c r="A105" s="22" t="s">
        <v>16</v>
      </c>
      <c r="B105" s="97" t="s">
        <v>114</v>
      </c>
      <c r="C105" s="98"/>
      <c r="D105" s="98"/>
      <c r="E105" s="99"/>
      <c r="F105" s="35">
        <v>0.1</v>
      </c>
      <c r="G105" s="31">
        <f>F105*(SUM(G96:G100))</f>
        <v>437.43377951376345</v>
      </c>
    </row>
    <row r="106" spans="1:7" ht="15.75" customHeight="1" x14ac:dyDescent="0.3">
      <c r="A106" s="22" t="s">
        <v>19</v>
      </c>
      <c r="B106" s="97" t="s">
        <v>115</v>
      </c>
      <c r="C106" s="98"/>
      <c r="D106" s="98"/>
      <c r="E106" s="99"/>
      <c r="F106" s="35">
        <v>0.1</v>
      </c>
      <c r="G106" s="31">
        <f>F106*(G101+G105)</f>
        <v>481.17715746513977</v>
      </c>
    </row>
    <row r="107" spans="1:7" ht="15.75" customHeight="1" x14ac:dyDescent="0.3">
      <c r="A107" s="102" t="s">
        <v>22</v>
      </c>
      <c r="B107" s="97" t="s">
        <v>116</v>
      </c>
      <c r="C107" s="98"/>
      <c r="D107" s="98"/>
      <c r="E107" s="99"/>
      <c r="F107" s="116">
        <f>SUM(E108:E114)</f>
        <v>0.15729999999999997</v>
      </c>
      <c r="G107" s="117">
        <f>(G101+G105+G106)*F107</f>
        <v>832.58083556193128</v>
      </c>
    </row>
    <row r="108" spans="1:7" ht="15.75" customHeight="1" x14ac:dyDescent="0.3">
      <c r="A108" s="108"/>
      <c r="B108" s="109" t="s">
        <v>117</v>
      </c>
      <c r="C108" s="110"/>
      <c r="D108" s="65" t="s">
        <v>118</v>
      </c>
      <c r="E108" s="35">
        <v>6.4999999999999997E-3</v>
      </c>
      <c r="F108" s="108"/>
      <c r="G108" s="108"/>
    </row>
    <row r="109" spans="1:7" ht="15.75" customHeight="1" x14ac:dyDescent="0.3">
      <c r="A109" s="108"/>
      <c r="B109" s="111"/>
      <c r="C109" s="112"/>
      <c r="D109" s="65" t="s">
        <v>119</v>
      </c>
      <c r="E109" s="66">
        <v>0.03</v>
      </c>
      <c r="F109" s="108"/>
      <c r="G109" s="108"/>
    </row>
    <row r="110" spans="1:7" ht="15.75" customHeight="1" x14ac:dyDescent="0.3">
      <c r="A110" s="108"/>
      <c r="B110" s="111"/>
      <c r="C110" s="112"/>
      <c r="D110" s="65" t="s">
        <v>120</v>
      </c>
      <c r="E110" s="35">
        <f>32%*15%</f>
        <v>4.8000000000000001E-2</v>
      </c>
      <c r="F110" s="108"/>
      <c r="G110" s="108"/>
    </row>
    <row r="111" spans="1:7" ht="15.75" customHeight="1" x14ac:dyDescent="0.3">
      <c r="A111" s="108"/>
      <c r="B111" s="111"/>
      <c r="C111" s="112"/>
      <c r="D111" s="65" t="s">
        <v>121</v>
      </c>
      <c r="E111" s="35">
        <f>E110/2</f>
        <v>2.4E-2</v>
      </c>
      <c r="F111" s="108"/>
      <c r="G111" s="108"/>
    </row>
    <row r="112" spans="1:7" ht="15.75" customHeight="1" x14ac:dyDescent="0.3">
      <c r="A112" s="108"/>
      <c r="B112" s="113"/>
      <c r="C112" s="114"/>
      <c r="D112" s="65" t="s">
        <v>122</v>
      </c>
      <c r="E112" s="35">
        <f>32%*9%</f>
        <v>2.8799999999999999E-2</v>
      </c>
      <c r="F112" s="108"/>
      <c r="G112" s="108"/>
    </row>
    <row r="113" spans="1:7" ht="15.75" customHeight="1" x14ac:dyDescent="0.3">
      <c r="A113" s="108"/>
      <c r="B113" s="115" t="s">
        <v>123</v>
      </c>
      <c r="C113" s="98"/>
      <c r="D113" s="99"/>
      <c r="E113" s="49"/>
      <c r="F113" s="108"/>
      <c r="G113" s="108"/>
    </row>
    <row r="114" spans="1:7" ht="15.75" customHeight="1" x14ac:dyDescent="0.3">
      <c r="A114" s="103"/>
      <c r="B114" s="115" t="s">
        <v>124</v>
      </c>
      <c r="C114" s="99"/>
      <c r="D114" s="65" t="s">
        <v>125</v>
      </c>
      <c r="E114" s="35">
        <v>0.02</v>
      </c>
      <c r="F114" s="103"/>
      <c r="G114" s="103"/>
    </row>
    <row r="115" spans="1:7" ht="15.75" customHeight="1" x14ac:dyDescent="0.3">
      <c r="A115" s="105" t="s">
        <v>46</v>
      </c>
      <c r="B115" s="98"/>
      <c r="C115" s="98"/>
      <c r="D115" s="98"/>
      <c r="E115" s="98"/>
      <c r="F115" s="99"/>
      <c r="G115" s="39">
        <f>ROUND((G105+G106+G107),2)</f>
        <v>1751.19</v>
      </c>
    </row>
    <row r="116" spans="1:7" ht="15.75" customHeight="1" x14ac:dyDescent="0.3">
      <c r="A116" s="67"/>
      <c r="B116" s="67"/>
      <c r="C116" s="67"/>
      <c r="D116" s="67"/>
      <c r="E116" s="67"/>
      <c r="F116" s="67"/>
      <c r="G116" s="68"/>
    </row>
    <row r="117" spans="1:7" ht="15.75" customHeight="1" x14ac:dyDescent="0.3">
      <c r="A117" s="69" t="s">
        <v>126</v>
      </c>
      <c r="B117" s="70" t="s">
        <v>127</v>
      </c>
      <c r="C117" s="71"/>
      <c r="D117" s="71"/>
      <c r="E117" s="72"/>
      <c r="F117" s="73">
        <f>TRUNC(F107,4)</f>
        <v>0.1573</v>
      </c>
      <c r="G117" s="74"/>
    </row>
    <row r="118" spans="1:7" ht="15.75" customHeight="1" x14ac:dyDescent="0.3">
      <c r="A118" s="75"/>
      <c r="B118" s="76">
        <v>100</v>
      </c>
      <c r="C118" s="77"/>
      <c r="D118" s="77"/>
      <c r="E118" s="78"/>
      <c r="F118" s="77"/>
      <c r="G118" s="79"/>
    </row>
    <row r="119" spans="1:7" ht="15.75" customHeight="1" x14ac:dyDescent="0.3">
      <c r="A119" s="80"/>
      <c r="B119" s="76"/>
      <c r="C119" s="77"/>
      <c r="D119" s="77"/>
      <c r="E119" s="78"/>
      <c r="F119" s="81"/>
      <c r="G119" s="79"/>
    </row>
    <row r="120" spans="1:7" ht="15.75" customHeight="1" x14ac:dyDescent="0.3">
      <c r="A120" s="75" t="s">
        <v>128</v>
      </c>
      <c r="B120" s="82" t="s">
        <v>129</v>
      </c>
      <c r="C120" s="77"/>
      <c r="D120" s="77"/>
      <c r="E120" s="78"/>
      <c r="F120" s="81"/>
      <c r="G120" s="79">
        <f>ROUND(SUM(G101,G105,G106),2)</f>
        <v>5292.95</v>
      </c>
    </row>
    <row r="121" spans="1:7" ht="15.75" customHeight="1" x14ac:dyDescent="0.3">
      <c r="A121" s="75"/>
      <c r="B121" s="76"/>
      <c r="C121" s="77"/>
      <c r="D121" s="77"/>
      <c r="E121" s="78"/>
      <c r="F121" s="81"/>
      <c r="G121" s="79"/>
    </row>
    <row r="122" spans="1:7" ht="15.75" customHeight="1" x14ac:dyDescent="0.3">
      <c r="A122" s="75" t="s">
        <v>130</v>
      </c>
      <c r="B122" s="82" t="s">
        <v>131</v>
      </c>
      <c r="C122" s="77"/>
      <c r="D122" s="77"/>
      <c r="E122" s="78"/>
      <c r="F122" s="81"/>
      <c r="G122" s="79">
        <f>G120/(1-F117)</f>
        <v>6280.942209564495</v>
      </c>
    </row>
    <row r="123" spans="1:7" ht="15.75" customHeight="1" x14ac:dyDescent="0.3">
      <c r="A123" s="75"/>
      <c r="B123" s="76"/>
      <c r="C123" s="77"/>
      <c r="D123" s="77"/>
      <c r="E123" s="78"/>
      <c r="F123" s="81"/>
      <c r="G123" s="79"/>
    </row>
    <row r="124" spans="1:7" ht="15.75" customHeight="1" x14ac:dyDescent="0.3">
      <c r="A124" s="83"/>
      <c r="B124" s="84" t="s">
        <v>132</v>
      </c>
      <c r="C124" s="85"/>
      <c r="D124" s="85"/>
      <c r="E124" s="86"/>
      <c r="F124" s="87"/>
      <c r="G124" s="88">
        <f>TRUNC(G122-G120,2)</f>
        <v>987.99</v>
      </c>
    </row>
    <row r="125" spans="1:7" ht="15.75" customHeight="1" x14ac:dyDescent="0.3">
      <c r="A125" s="89"/>
      <c r="B125" s="90"/>
      <c r="C125" s="91"/>
      <c r="D125" s="91"/>
      <c r="E125" s="19"/>
      <c r="F125" s="92"/>
      <c r="G125" s="93"/>
    </row>
    <row r="126" spans="1:7" ht="15.75" customHeight="1" x14ac:dyDescent="0.3">
      <c r="A126" s="106" t="s">
        <v>133</v>
      </c>
      <c r="B126" s="98"/>
      <c r="C126" s="98"/>
      <c r="D126" s="98"/>
      <c r="E126" s="98"/>
      <c r="F126" s="98"/>
      <c r="G126" s="99"/>
    </row>
    <row r="127" spans="1:7" ht="15.75" customHeight="1" x14ac:dyDescent="0.3">
      <c r="A127" s="100" t="s">
        <v>134</v>
      </c>
      <c r="B127" s="98"/>
      <c r="C127" s="98"/>
      <c r="D127" s="98"/>
      <c r="E127" s="98"/>
      <c r="F127" s="99"/>
      <c r="G127" s="18" t="s">
        <v>135</v>
      </c>
    </row>
    <row r="128" spans="1:7" ht="15.75" customHeight="1" x14ac:dyDescent="0.3">
      <c r="A128" s="22" t="s">
        <v>16</v>
      </c>
      <c r="B128" s="97" t="s">
        <v>109</v>
      </c>
      <c r="C128" s="98"/>
      <c r="D128" s="98"/>
      <c r="E128" s="98"/>
      <c r="F128" s="99"/>
      <c r="G128" s="48">
        <f t="shared" ref="G128:G132" si="2">G96</f>
        <v>1802.16</v>
      </c>
    </row>
    <row r="129" spans="1:7" ht="15.75" customHeight="1" x14ac:dyDescent="0.3">
      <c r="A129" s="22" t="s">
        <v>19</v>
      </c>
      <c r="B129" s="97" t="s">
        <v>39</v>
      </c>
      <c r="C129" s="98"/>
      <c r="D129" s="98"/>
      <c r="E129" s="98"/>
      <c r="F129" s="99"/>
      <c r="G129" s="48">
        <f t="shared" si="2"/>
        <v>2256.2509840000002</v>
      </c>
    </row>
    <row r="130" spans="1:7" ht="15.75" customHeight="1" x14ac:dyDescent="0.3">
      <c r="A130" s="22" t="s">
        <v>22</v>
      </c>
      <c r="B130" s="97" t="s">
        <v>110</v>
      </c>
      <c r="C130" s="98"/>
      <c r="D130" s="98"/>
      <c r="E130" s="98"/>
      <c r="F130" s="99"/>
      <c r="G130" s="48">
        <f t="shared" si="2"/>
        <v>100.98084</v>
      </c>
    </row>
    <row r="131" spans="1:7" ht="15.75" customHeight="1" x14ac:dyDescent="0.3">
      <c r="A131" s="22" t="s">
        <v>24</v>
      </c>
      <c r="B131" s="97" t="s">
        <v>80</v>
      </c>
      <c r="C131" s="98"/>
      <c r="D131" s="98"/>
      <c r="E131" s="98"/>
      <c r="F131" s="99"/>
      <c r="G131" s="48">
        <f t="shared" si="2"/>
        <v>157.94597113763379</v>
      </c>
    </row>
    <row r="132" spans="1:7" ht="15.75" customHeight="1" x14ac:dyDescent="0.3">
      <c r="A132" s="22" t="s">
        <v>26</v>
      </c>
      <c r="B132" s="97" t="s">
        <v>101</v>
      </c>
      <c r="C132" s="98"/>
      <c r="D132" s="98"/>
      <c r="E132" s="98"/>
      <c r="F132" s="99"/>
      <c r="G132" s="48">
        <f t="shared" si="2"/>
        <v>57</v>
      </c>
    </row>
    <row r="133" spans="1:7" ht="15.75" customHeight="1" x14ac:dyDescent="0.3">
      <c r="A133" s="22" t="s">
        <v>30</v>
      </c>
      <c r="B133" s="97" t="s">
        <v>136</v>
      </c>
      <c r="C133" s="98"/>
      <c r="D133" s="98"/>
      <c r="E133" s="98"/>
      <c r="F133" s="99"/>
      <c r="G133" s="48">
        <f>G115</f>
        <v>1751.19</v>
      </c>
    </row>
    <row r="134" spans="1:7" ht="15.75" customHeight="1" x14ac:dyDescent="0.3">
      <c r="A134" s="49" t="s">
        <v>32</v>
      </c>
      <c r="B134" s="100" t="s">
        <v>137</v>
      </c>
      <c r="C134" s="98"/>
      <c r="D134" s="98"/>
      <c r="E134" s="98"/>
      <c r="F134" s="99"/>
      <c r="G134" s="18">
        <f>TRUNC(SUM(G128:G133),2)</f>
        <v>6125.52</v>
      </c>
    </row>
    <row r="135" spans="1:7" ht="15.75" customHeight="1" x14ac:dyDescent="0.3">
      <c r="A135" s="49" t="s">
        <v>34</v>
      </c>
      <c r="B135" s="100" t="s">
        <v>138</v>
      </c>
      <c r="C135" s="98"/>
      <c r="D135" s="98"/>
      <c r="E135" s="98"/>
      <c r="F135" s="99"/>
      <c r="G135" s="18">
        <f>G134*12</f>
        <v>73506.240000000005</v>
      </c>
    </row>
    <row r="136" spans="1:7" ht="15.75" customHeight="1" x14ac:dyDescent="0.3"/>
    <row r="137" spans="1:7" ht="15.75" customHeight="1" x14ac:dyDescent="0.3">
      <c r="A137" s="104" t="s">
        <v>139</v>
      </c>
      <c r="B137" s="98"/>
      <c r="C137" s="98"/>
      <c r="D137" s="98"/>
      <c r="E137" s="98"/>
      <c r="F137" s="98"/>
      <c r="G137" s="99"/>
    </row>
    <row r="138" spans="1:7" ht="15.75" customHeight="1" x14ac:dyDescent="0.3">
      <c r="A138" s="100" t="s">
        <v>134</v>
      </c>
      <c r="B138" s="98"/>
      <c r="C138" s="98"/>
      <c r="D138" s="98"/>
      <c r="E138" s="98"/>
      <c r="F138" s="99"/>
      <c r="G138" s="18" t="s">
        <v>135</v>
      </c>
    </row>
    <row r="139" spans="1:7" ht="15.75" customHeight="1" x14ac:dyDescent="0.3">
      <c r="A139" s="22" t="s">
        <v>16</v>
      </c>
      <c r="B139" s="97" t="s">
        <v>109</v>
      </c>
      <c r="C139" s="98"/>
      <c r="D139" s="98"/>
      <c r="E139" s="98"/>
      <c r="F139" s="99"/>
      <c r="G139" s="48">
        <f t="shared" ref="G139:G143" si="3">G128</f>
        <v>1802.16</v>
      </c>
    </row>
    <row r="140" spans="1:7" ht="15.75" customHeight="1" x14ac:dyDescent="0.3">
      <c r="A140" s="22" t="s">
        <v>19</v>
      </c>
      <c r="B140" s="97" t="s">
        <v>39</v>
      </c>
      <c r="C140" s="98"/>
      <c r="D140" s="98"/>
      <c r="E140" s="98"/>
      <c r="F140" s="99"/>
      <c r="G140" s="48">
        <f t="shared" si="3"/>
        <v>2256.2509840000002</v>
      </c>
    </row>
    <row r="141" spans="1:7" ht="15.75" customHeight="1" x14ac:dyDescent="0.3">
      <c r="A141" s="22" t="s">
        <v>22</v>
      </c>
      <c r="B141" s="97" t="s">
        <v>110</v>
      </c>
      <c r="C141" s="98"/>
      <c r="D141" s="98"/>
      <c r="E141" s="98"/>
      <c r="F141" s="99"/>
      <c r="G141" s="48">
        <f t="shared" si="3"/>
        <v>100.98084</v>
      </c>
    </row>
    <row r="142" spans="1:7" ht="15.75" customHeight="1" x14ac:dyDescent="0.3">
      <c r="A142" s="22" t="s">
        <v>24</v>
      </c>
      <c r="B142" s="97" t="s">
        <v>80</v>
      </c>
      <c r="C142" s="98"/>
      <c r="D142" s="98"/>
      <c r="E142" s="98"/>
      <c r="F142" s="99"/>
      <c r="G142" s="48">
        <f t="shared" si="3"/>
        <v>157.94597113763379</v>
      </c>
    </row>
    <row r="143" spans="1:7" ht="15.75" customHeight="1" x14ac:dyDescent="0.3">
      <c r="A143" s="22" t="s">
        <v>26</v>
      </c>
      <c r="B143" s="97" t="s">
        <v>101</v>
      </c>
      <c r="C143" s="98"/>
      <c r="D143" s="98"/>
      <c r="E143" s="98"/>
      <c r="F143" s="99"/>
      <c r="G143" s="48">
        <f t="shared" si="3"/>
        <v>57</v>
      </c>
    </row>
    <row r="144" spans="1:7" ht="15.75" customHeight="1" x14ac:dyDescent="0.3">
      <c r="A144" s="22" t="s">
        <v>30</v>
      </c>
      <c r="B144" s="97" t="s">
        <v>140</v>
      </c>
      <c r="C144" s="98"/>
      <c r="D144" s="98"/>
      <c r="E144" s="98"/>
      <c r="F144" s="99"/>
      <c r="G144" s="94">
        <v>0</v>
      </c>
    </row>
    <row r="145" spans="1:7" ht="15.75" customHeight="1" x14ac:dyDescent="0.3">
      <c r="A145" s="49" t="s">
        <v>32</v>
      </c>
      <c r="B145" s="100" t="s">
        <v>137</v>
      </c>
      <c r="C145" s="98"/>
      <c r="D145" s="98"/>
      <c r="E145" s="98"/>
      <c r="F145" s="99"/>
      <c r="G145" s="18">
        <f>TRUNC(SUM(G139:G144),2)</f>
        <v>4374.33</v>
      </c>
    </row>
    <row r="146" spans="1:7" ht="15.75" customHeight="1" x14ac:dyDescent="0.3">
      <c r="A146" s="49" t="s">
        <v>34</v>
      </c>
      <c r="B146" s="100" t="s">
        <v>161</v>
      </c>
      <c r="C146" s="98"/>
      <c r="D146" s="98"/>
      <c r="E146" s="98"/>
      <c r="F146" s="99"/>
      <c r="G146" s="18">
        <f>G145*10</f>
        <v>43743.3</v>
      </c>
    </row>
    <row r="147" spans="1:7" ht="15.75" customHeight="1" x14ac:dyDescent="0.3"/>
    <row r="148" spans="1:7" ht="15.75" customHeight="1" x14ac:dyDescent="0.3"/>
    <row r="149" spans="1:7" ht="15.75" customHeight="1" x14ac:dyDescent="0.3"/>
    <row r="150" spans="1:7" ht="15.75" customHeight="1" x14ac:dyDescent="0.3"/>
    <row r="151" spans="1:7" ht="15.75" customHeight="1" x14ac:dyDescent="0.3"/>
    <row r="152" spans="1:7" ht="15.75" customHeight="1" x14ac:dyDescent="0.3"/>
    <row r="153" spans="1:7" ht="15.75" customHeight="1" x14ac:dyDescent="0.3"/>
    <row r="154" spans="1:7" ht="15.75" customHeight="1" x14ac:dyDescent="0.3"/>
    <row r="155" spans="1:7" ht="15.75" customHeight="1" x14ac:dyDescent="0.3"/>
    <row r="156" spans="1:7" ht="15.75" customHeight="1" x14ac:dyDescent="0.3"/>
    <row r="157" spans="1:7" ht="15.75" customHeight="1" x14ac:dyDescent="0.3"/>
    <row r="158" spans="1:7" ht="15.75" customHeight="1" x14ac:dyDescent="0.3"/>
    <row r="159" spans="1:7" ht="15.75" customHeight="1" x14ac:dyDescent="0.3"/>
    <row r="160" spans="1:7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142">
    <mergeCell ref="A1:G1"/>
    <mergeCell ref="B2:E2"/>
    <mergeCell ref="F2:G2"/>
    <mergeCell ref="B3:E3"/>
    <mergeCell ref="F3:G3"/>
    <mergeCell ref="B4:E4"/>
    <mergeCell ref="F4:G4"/>
    <mergeCell ref="B5:E5"/>
    <mergeCell ref="F5:G5"/>
    <mergeCell ref="B6:E6"/>
    <mergeCell ref="F6:G6"/>
    <mergeCell ref="B7:E7"/>
    <mergeCell ref="F7:G7"/>
    <mergeCell ref="F8:G8"/>
    <mergeCell ref="B8:E8"/>
    <mergeCell ref="A10:G10"/>
    <mergeCell ref="B11:F11"/>
    <mergeCell ref="B12:D12"/>
    <mergeCell ref="B13:D13"/>
    <mergeCell ref="B14:F14"/>
    <mergeCell ref="B15:F15"/>
    <mergeCell ref="B17:F17"/>
    <mergeCell ref="B18:F18"/>
    <mergeCell ref="A20:F20"/>
    <mergeCell ref="A22:G22"/>
    <mergeCell ref="B23:E23"/>
    <mergeCell ref="B24:E24"/>
    <mergeCell ref="B25:E25"/>
    <mergeCell ref="A26:E26"/>
    <mergeCell ref="B28:E28"/>
    <mergeCell ref="B29:E29"/>
    <mergeCell ref="B30:E30"/>
    <mergeCell ref="B31:E31"/>
    <mergeCell ref="B32:E32"/>
    <mergeCell ref="B33:E33"/>
    <mergeCell ref="B34:E34"/>
    <mergeCell ref="B36:E36"/>
    <mergeCell ref="A37:E37"/>
    <mergeCell ref="B39:F39"/>
    <mergeCell ref="B40:F40"/>
    <mergeCell ref="B41:F41"/>
    <mergeCell ref="B42:F42"/>
    <mergeCell ref="B43:F43"/>
    <mergeCell ref="B44:F44"/>
    <mergeCell ref="B45:F45"/>
    <mergeCell ref="B46:F46"/>
    <mergeCell ref="A47:F47"/>
    <mergeCell ref="A49:F49"/>
    <mergeCell ref="B50:F50"/>
    <mergeCell ref="A66:G66"/>
    <mergeCell ref="B67:F67"/>
    <mergeCell ref="A68:F68"/>
    <mergeCell ref="B69:E69"/>
    <mergeCell ref="A70:A71"/>
    <mergeCell ref="F70:F71"/>
    <mergeCell ref="G70:G71"/>
    <mergeCell ref="B70:E70"/>
    <mergeCell ref="B71:D71"/>
    <mergeCell ref="F57:F58"/>
    <mergeCell ref="G57:G58"/>
    <mergeCell ref="B51:F51"/>
    <mergeCell ref="B52:F52"/>
    <mergeCell ref="A53:F53"/>
    <mergeCell ref="A55:G55"/>
    <mergeCell ref="A56:F56"/>
    <mergeCell ref="A57:A58"/>
    <mergeCell ref="B57:E57"/>
    <mergeCell ref="B58:D58"/>
    <mergeCell ref="B59:E59"/>
    <mergeCell ref="F72:F73"/>
    <mergeCell ref="G72:G73"/>
    <mergeCell ref="B75:D75"/>
    <mergeCell ref="A87:G87"/>
    <mergeCell ref="B88:F88"/>
    <mergeCell ref="B89:F89"/>
    <mergeCell ref="B90:F90"/>
    <mergeCell ref="F74:F75"/>
    <mergeCell ref="G74:G75"/>
    <mergeCell ref="F76:F77"/>
    <mergeCell ref="G76:G77"/>
    <mergeCell ref="A78:F78"/>
    <mergeCell ref="B79:F79"/>
    <mergeCell ref="B80:F80"/>
    <mergeCell ref="A82:F82"/>
    <mergeCell ref="B83:F83"/>
    <mergeCell ref="B84:F84"/>
    <mergeCell ref="A85:F85"/>
    <mergeCell ref="B91:F91"/>
    <mergeCell ref="B92:F92"/>
    <mergeCell ref="B93:F93"/>
    <mergeCell ref="A95:F95"/>
    <mergeCell ref="B96:F96"/>
    <mergeCell ref="B97:F97"/>
    <mergeCell ref="B98:F98"/>
    <mergeCell ref="B99:F99"/>
    <mergeCell ref="B100:F100"/>
    <mergeCell ref="A101:F101"/>
    <mergeCell ref="A107:A114"/>
    <mergeCell ref="B108:C112"/>
    <mergeCell ref="B114:C114"/>
    <mergeCell ref="A103:G103"/>
    <mergeCell ref="B104:E104"/>
    <mergeCell ref="B105:E105"/>
    <mergeCell ref="B106:E106"/>
    <mergeCell ref="B107:E107"/>
    <mergeCell ref="F107:F114"/>
    <mergeCell ref="G107:G114"/>
    <mergeCell ref="B113:D113"/>
    <mergeCell ref="A115:F115"/>
    <mergeCell ref="A126:G126"/>
    <mergeCell ref="A127:F127"/>
    <mergeCell ref="B128:F128"/>
    <mergeCell ref="B129:F129"/>
    <mergeCell ref="B130:F130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B131:F131"/>
    <mergeCell ref="B132:F132"/>
    <mergeCell ref="B133:F133"/>
    <mergeCell ref="B134:F134"/>
    <mergeCell ref="B135:F135"/>
    <mergeCell ref="A137:G137"/>
    <mergeCell ref="A138:F138"/>
    <mergeCell ref="B60:E60"/>
    <mergeCell ref="B61:E61"/>
    <mergeCell ref="B62:E62"/>
    <mergeCell ref="B63:E63"/>
    <mergeCell ref="A64:E64"/>
    <mergeCell ref="B73:D73"/>
    <mergeCell ref="B74:C74"/>
    <mergeCell ref="B76:C76"/>
    <mergeCell ref="B77:D77"/>
    <mergeCell ref="A74:A75"/>
    <mergeCell ref="A76:A77"/>
    <mergeCell ref="A72:A73"/>
    <mergeCell ref="B72:C72"/>
  </mergeCells>
  <pageMargins left="0.511811024" right="0.511811024" top="0.78740157499999996" bottom="0.78740157499999996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B2:I21"/>
  <sheetViews>
    <sheetView workbookViewId="0">
      <selection activeCell="L14" sqref="L14"/>
    </sheetView>
  </sheetViews>
  <sheetFormatPr defaultColWidth="14.44140625" defaultRowHeight="15" customHeight="1" x14ac:dyDescent="0.3"/>
  <cols>
    <col min="1" max="1" width="0.88671875" customWidth="1"/>
  </cols>
  <sheetData>
    <row r="2" spans="2:9" x14ac:dyDescent="0.3">
      <c r="B2" s="104" t="s">
        <v>139</v>
      </c>
      <c r="C2" s="98"/>
      <c r="D2" s="98"/>
      <c r="E2" s="98"/>
      <c r="F2" s="98"/>
      <c r="G2" s="98"/>
      <c r="H2" s="99"/>
    </row>
    <row r="3" spans="2:9" x14ac:dyDescent="0.3">
      <c r="B3" s="100" t="s">
        <v>146</v>
      </c>
      <c r="C3" s="98"/>
      <c r="D3" s="98"/>
      <c r="E3" s="98"/>
      <c r="F3" s="98"/>
      <c r="G3" s="99"/>
      <c r="H3" s="18" t="s">
        <v>135</v>
      </c>
    </row>
    <row r="4" spans="2:9" x14ac:dyDescent="0.3">
      <c r="B4" s="22" t="s">
        <v>16</v>
      </c>
      <c r="C4" s="97" t="s">
        <v>158</v>
      </c>
      <c r="D4" s="98"/>
      <c r="E4" s="98"/>
      <c r="F4" s="98"/>
      <c r="G4" s="99"/>
      <c r="H4" s="48">
        <f>jardineiro!G146</f>
        <v>68370.959999999992</v>
      </c>
    </row>
    <row r="5" spans="2:9" x14ac:dyDescent="0.3">
      <c r="B5" s="22" t="s">
        <v>19</v>
      </c>
      <c r="C5" s="97" t="s">
        <v>162</v>
      </c>
      <c r="D5" s="98"/>
      <c r="E5" s="98"/>
      <c r="F5" s="98"/>
      <c r="G5" s="99"/>
      <c r="H5" s="48">
        <f>'auxiliar de jardineiro'!G146</f>
        <v>136772.79999999999</v>
      </c>
    </row>
    <row r="6" spans="2:9" x14ac:dyDescent="0.3">
      <c r="B6" s="22" t="s">
        <v>22</v>
      </c>
      <c r="C6" s="97" t="s">
        <v>163</v>
      </c>
      <c r="D6" s="98"/>
      <c r="E6" s="98"/>
      <c r="F6" s="98"/>
      <c r="G6" s="99"/>
      <c r="H6" s="48">
        <f>'operador de roçadeira costal'!G146</f>
        <v>43743.3</v>
      </c>
    </row>
    <row r="7" spans="2:9" ht="14.4" customHeight="1" x14ac:dyDescent="0.3">
      <c r="B7" s="95" t="s">
        <v>24</v>
      </c>
      <c r="C7" s="97" t="s">
        <v>156</v>
      </c>
      <c r="D7" s="98"/>
      <c r="E7" s="98"/>
      <c r="F7" s="98"/>
      <c r="G7" s="99"/>
      <c r="H7" s="48">
        <f>almoxarife!G146</f>
        <v>5697.58</v>
      </c>
    </row>
    <row r="8" spans="2:9" ht="14.4" x14ac:dyDescent="0.3">
      <c r="B8" s="95" t="s">
        <v>30</v>
      </c>
      <c r="C8" s="97" t="s">
        <v>151</v>
      </c>
      <c r="D8" s="98"/>
      <c r="E8" s="98"/>
      <c r="F8" s="98"/>
      <c r="G8" s="99"/>
      <c r="H8" s="48">
        <f>'encarregado geral'!G146</f>
        <v>8518.0499999999993</v>
      </c>
    </row>
    <row r="9" spans="2:9" ht="14.4" x14ac:dyDescent="0.3">
      <c r="B9" s="95" t="s">
        <v>152</v>
      </c>
      <c r="C9" s="97" t="s">
        <v>164</v>
      </c>
      <c r="D9" s="98"/>
      <c r="E9" s="98"/>
      <c r="F9" s="98"/>
      <c r="G9" s="99"/>
      <c r="H9" s="48">
        <f>'motorista caminhao'!G146</f>
        <v>5489.45</v>
      </c>
    </row>
    <row r="10" spans="2:9" ht="14.4" x14ac:dyDescent="0.3">
      <c r="B10" s="49" t="s">
        <v>34</v>
      </c>
      <c r="C10" s="100" t="s">
        <v>165</v>
      </c>
      <c r="D10" s="98"/>
      <c r="E10" s="98"/>
      <c r="F10" s="98"/>
      <c r="G10" s="99"/>
      <c r="H10" s="18">
        <f>SUM(H4:H9)</f>
        <v>268592.14</v>
      </c>
    </row>
    <row r="13" spans="2:9" ht="15.6" x14ac:dyDescent="0.3">
      <c r="B13" s="104" t="s">
        <v>154</v>
      </c>
      <c r="C13" s="98"/>
      <c r="D13" s="98"/>
      <c r="E13" s="98"/>
      <c r="F13" s="98"/>
      <c r="G13" s="98"/>
      <c r="H13" s="99"/>
    </row>
    <row r="14" spans="2:9" ht="14.4" x14ac:dyDescent="0.3">
      <c r="B14" s="100"/>
      <c r="C14" s="98"/>
      <c r="D14" s="98"/>
      <c r="E14" s="98"/>
      <c r="F14" s="98"/>
      <c r="G14" s="99"/>
      <c r="H14" s="18" t="s">
        <v>135</v>
      </c>
    </row>
    <row r="15" spans="2:9" ht="14.4" x14ac:dyDescent="0.3">
      <c r="B15" s="22" t="s">
        <v>16</v>
      </c>
      <c r="C15" s="97" t="s">
        <v>147</v>
      </c>
      <c r="D15" s="98"/>
      <c r="E15" s="98"/>
      <c r="F15" s="98"/>
      <c r="G15" s="99"/>
      <c r="H15" s="48">
        <f>jardineiro!G29*7</f>
        <v>3604.1180000000004</v>
      </c>
      <c r="I15" s="96"/>
    </row>
    <row r="16" spans="2:9" ht="14.4" x14ac:dyDescent="0.3">
      <c r="B16" s="22" t="s">
        <v>19</v>
      </c>
      <c r="C16" s="97" t="s">
        <v>148</v>
      </c>
      <c r="D16" s="98"/>
      <c r="E16" s="98"/>
      <c r="F16" s="98"/>
      <c r="G16" s="99"/>
      <c r="H16" s="48">
        <f>'auxiliar de jardineiro'!G29*4</f>
        <v>1394.9520000000002</v>
      </c>
      <c r="I16" s="96"/>
    </row>
    <row r="17" spans="2:9" ht="14.4" x14ac:dyDescent="0.3">
      <c r="B17" s="22" t="s">
        <v>22</v>
      </c>
      <c r="C17" s="97" t="s">
        <v>149</v>
      </c>
      <c r="D17" s="98"/>
      <c r="E17" s="98"/>
      <c r="F17" s="98"/>
      <c r="G17" s="99"/>
      <c r="H17" s="48">
        <f>'operador de roçadeira costal'!G29*7</f>
        <v>2523.0240000000003</v>
      </c>
      <c r="I17" s="96"/>
    </row>
    <row r="18" spans="2:9" ht="14.4" x14ac:dyDescent="0.3">
      <c r="B18" s="95" t="s">
        <v>24</v>
      </c>
      <c r="C18" s="97" t="s">
        <v>150</v>
      </c>
      <c r="D18" s="98"/>
      <c r="E18" s="98"/>
      <c r="F18" s="98"/>
      <c r="G18" s="99"/>
      <c r="H18" s="48">
        <f>almoxarife!G29</f>
        <v>514.87400000000002</v>
      </c>
      <c r="I18" s="96"/>
    </row>
    <row r="19" spans="2:9" ht="14.4" x14ac:dyDescent="0.3">
      <c r="B19" s="95" t="s">
        <v>30</v>
      </c>
      <c r="C19" s="97" t="s">
        <v>151</v>
      </c>
      <c r="D19" s="98"/>
      <c r="E19" s="98"/>
      <c r="F19" s="98"/>
      <c r="G19" s="99"/>
      <c r="H19" s="48">
        <f>'encarregado geral'!G29</f>
        <v>844.06600000000003</v>
      </c>
      <c r="I19" s="96"/>
    </row>
    <row r="20" spans="2:9" ht="14.4" x14ac:dyDescent="0.3">
      <c r="B20" s="95" t="s">
        <v>152</v>
      </c>
      <c r="C20" s="97" t="s">
        <v>153</v>
      </c>
      <c r="D20" s="98"/>
      <c r="E20" s="98"/>
      <c r="F20" s="98"/>
      <c r="G20" s="99"/>
      <c r="H20" s="48">
        <f>'motorista caminhao'!G29*2</f>
        <v>981.16399999999999</v>
      </c>
      <c r="I20" s="96"/>
    </row>
    <row r="21" spans="2:9" ht="14.4" x14ac:dyDescent="0.3">
      <c r="B21" s="49" t="s">
        <v>34</v>
      </c>
      <c r="C21" s="100" t="s">
        <v>165</v>
      </c>
      <c r="D21" s="98"/>
      <c r="E21" s="98"/>
      <c r="F21" s="98"/>
      <c r="G21" s="99"/>
      <c r="H21" s="18">
        <f>SUM(H15:H20)</f>
        <v>9862.1980000000021</v>
      </c>
    </row>
  </sheetData>
  <mergeCells count="18">
    <mergeCell ref="B2:H2"/>
    <mergeCell ref="B3:G3"/>
    <mergeCell ref="C4:G4"/>
    <mergeCell ref="C5:G5"/>
    <mergeCell ref="C6:G6"/>
    <mergeCell ref="C7:G7"/>
    <mergeCell ref="C8:G8"/>
    <mergeCell ref="C9:G9"/>
    <mergeCell ref="C10:G10"/>
    <mergeCell ref="B13:H13"/>
    <mergeCell ref="C20:G20"/>
    <mergeCell ref="C21:G21"/>
    <mergeCell ref="C19:G19"/>
    <mergeCell ref="B14:G14"/>
    <mergeCell ref="C15:G15"/>
    <mergeCell ref="C16:G16"/>
    <mergeCell ref="C17:G17"/>
    <mergeCell ref="C18:G1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encarregado geral</vt:lpstr>
      <vt:lpstr>almoxarife</vt:lpstr>
      <vt:lpstr>auxiliar de jardineiro</vt:lpstr>
      <vt:lpstr>jardineiro</vt:lpstr>
      <vt:lpstr>motorista caminhao</vt:lpstr>
      <vt:lpstr>operador de roçadeira costal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 Claudio</dc:creator>
  <cp:lastModifiedBy>Diego</cp:lastModifiedBy>
  <dcterms:created xsi:type="dcterms:W3CDTF">2024-09-27T12:21:30Z</dcterms:created>
  <dcterms:modified xsi:type="dcterms:W3CDTF">2025-06-06T02:31:07Z</dcterms:modified>
</cp:coreProperties>
</file>